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0490" windowHeight="7035" activeTab="5"/>
  </bookViews>
  <sheets>
    <sheet name="Summary" sheetId="6" r:id="rId1"/>
    <sheet name="Demographics" sheetId="1" r:id="rId2"/>
    <sheet name="Productive" sheetId="2" r:id="rId3"/>
    <sheet name="Sustainable" sheetId="4" r:id="rId4"/>
    <sheet name="Inclusive" sheetId="3" r:id="rId5"/>
    <sheet name="Well governed" sheetId="5" r:id="rId6"/>
  </sheets>
  <externalReferences>
    <externalReference r:id="rId7"/>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01" i="3" l="1"/>
  <c r="AH200" i="3"/>
  <c r="AH193" i="3"/>
  <c r="B182" i="3" l="1"/>
  <c r="B183" i="3"/>
  <c r="B184" i="3"/>
  <c r="B185" i="3"/>
  <c r="B186" i="3"/>
  <c r="B187" i="3"/>
  <c r="B188" i="3"/>
  <c r="B189" i="3"/>
  <c r="B190" i="3"/>
  <c r="AE199" i="3" l="1"/>
  <c r="AE198" i="3"/>
  <c r="AE197" i="3"/>
  <c r="AE196" i="3"/>
  <c r="AE195" i="3"/>
  <c r="AD199" i="3"/>
  <c r="AC199" i="3"/>
  <c r="AB199" i="3"/>
  <c r="AA199" i="3"/>
  <c r="AD198" i="3"/>
  <c r="AC198" i="3"/>
  <c r="AB198" i="3"/>
  <c r="AA198" i="3"/>
  <c r="AD197" i="3"/>
  <c r="AC197" i="3"/>
  <c r="AB197" i="3"/>
  <c r="AA197" i="3"/>
  <c r="AD196" i="3"/>
  <c r="AC196" i="3"/>
  <c r="AD195" i="3"/>
  <c r="AC195" i="3"/>
  <c r="AB195" i="3"/>
  <c r="AA195" i="3"/>
  <c r="AH197" i="3" l="1"/>
  <c r="AH198" i="3"/>
  <c r="AH199" i="3"/>
  <c r="AH195" i="3"/>
  <c r="AH196" i="3"/>
  <c r="G26" i="6" l="1"/>
  <c r="C15" i="6" l="1"/>
  <c r="C13" i="6" l="1"/>
  <c r="AA45" i="5" l="1"/>
  <c r="D17" i="6" l="1"/>
  <c r="D16" i="6"/>
  <c r="D15" i="6"/>
  <c r="D14" i="6"/>
  <c r="D13" i="6"/>
  <c r="C17" i="6"/>
  <c r="C16" i="6"/>
  <c r="C14" i="6"/>
  <c r="D9" i="6"/>
  <c r="D8" i="6"/>
  <c r="D7" i="6"/>
  <c r="D6" i="6"/>
  <c r="D5" i="6"/>
  <c r="C29" i="6"/>
  <c r="C28" i="6"/>
  <c r="C27" i="6"/>
  <c r="C26" i="6"/>
  <c r="C25" i="6"/>
  <c r="H29" i="6" l="1"/>
  <c r="G29" i="6"/>
  <c r="F29" i="6"/>
  <c r="E29" i="6"/>
  <c r="H28" i="6"/>
  <c r="G28" i="6"/>
  <c r="F28" i="6"/>
  <c r="E28" i="6"/>
  <c r="H27" i="6"/>
  <c r="G27" i="6"/>
  <c r="F27" i="6"/>
  <c r="E27" i="6"/>
  <c r="H26" i="6"/>
  <c r="F26" i="6"/>
  <c r="E26" i="6"/>
  <c r="H25" i="6"/>
  <c r="G25" i="6"/>
  <c r="F25" i="6"/>
  <c r="E25" i="6"/>
  <c r="D29" i="6"/>
  <c r="D28" i="6"/>
  <c r="D27" i="6"/>
  <c r="D26" i="6"/>
  <c r="D25" i="6"/>
  <c r="C9" i="6"/>
  <c r="C8" i="6"/>
  <c r="C7" i="6"/>
  <c r="C5" i="6"/>
  <c r="C6" i="6" l="1"/>
  <c r="BI171" i="5" l="1"/>
  <c r="BH171" i="5"/>
  <c r="BG171" i="5"/>
  <c r="BF171" i="5"/>
  <c r="BE171" i="5"/>
  <c r="BI170" i="5"/>
  <c r="BH170" i="5"/>
  <c r="BG170" i="5"/>
  <c r="BF170" i="5"/>
  <c r="BE170" i="5"/>
  <c r="BI169" i="5"/>
  <c r="BH169" i="5"/>
  <c r="BG169" i="5"/>
  <c r="BF169" i="5"/>
  <c r="BE169" i="5"/>
  <c r="BI168" i="5"/>
  <c r="BH168" i="5"/>
  <c r="BG168" i="5"/>
  <c r="BF168" i="5"/>
  <c r="BE168" i="5"/>
  <c r="BI163" i="5"/>
  <c r="BH163" i="5"/>
  <c r="BG163" i="5"/>
  <c r="BF163" i="5"/>
  <c r="BE163" i="5"/>
  <c r="BN171" i="5"/>
  <c r="BM171" i="5"/>
  <c r="BL171" i="5"/>
  <c r="BK171" i="5"/>
  <c r="BJ171" i="5"/>
  <c r="BN170" i="5"/>
  <c r="BM170" i="5"/>
  <c r="BL170" i="5"/>
  <c r="BK170" i="5"/>
  <c r="BJ170" i="5"/>
  <c r="BN169" i="5"/>
  <c r="BM169" i="5"/>
  <c r="BL169" i="5"/>
  <c r="BK169" i="5"/>
  <c r="BJ169" i="5"/>
  <c r="BN168" i="5"/>
  <c r="BM168" i="5"/>
  <c r="BL168" i="5"/>
  <c r="BK168" i="5"/>
  <c r="BJ168" i="5"/>
  <c r="BN163" i="5"/>
  <c r="BM163" i="5"/>
  <c r="BL163" i="5"/>
  <c r="BK163" i="5"/>
  <c r="BJ163" i="5"/>
  <c r="BM155" i="5"/>
  <c r="BL155" i="5"/>
  <c r="AY171" i="5"/>
  <c r="AX171" i="5"/>
  <c r="AW171" i="5"/>
  <c r="AV171" i="5"/>
  <c r="AU171" i="5"/>
  <c r="AY170" i="5"/>
  <c r="AX170" i="5"/>
  <c r="AW170" i="5"/>
  <c r="AV170" i="5"/>
  <c r="AU170" i="5"/>
  <c r="AY169" i="5"/>
  <c r="AX169" i="5"/>
  <c r="AW169" i="5"/>
  <c r="AV169" i="5"/>
  <c r="AU169" i="5"/>
  <c r="AY168" i="5"/>
  <c r="AX168" i="5"/>
  <c r="AW168" i="5"/>
  <c r="AV168" i="5"/>
  <c r="AU168" i="5"/>
  <c r="AY166" i="5"/>
  <c r="AY163" i="5"/>
  <c r="AX163" i="5"/>
  <c r="AW163" i="5"/>
  <c r="AV163" i="5"/>
  <c r="AU163" i="5"/>
  <c r="AL172" i="5"/>
  <c r="AK172" i="5"/>
  <c r="AO171" i="5"/>
  <c r="AN171" i="5"/>
  <c r="AM171" i="5"/>
  <c r="AL171" i="5"/>
  <c r="AK171" i="5"/>
  <c r="AO170" i="5"/>
  <c r="AN170" i="5"/>
  <c r="AM170" i="5"/>
  <c r="AL170" i="5"/>
  <c r="AK170" i="5"/>
  <c r="AO169" i="5"/>
  <c r="AN169" i="5"/>
  <c r="AM169" i="5"/>
  <c r="AL169" i="5"/>
  <c r="AK169" i="5"/>
  <c r="AO168" i="5"/>
  <c r="AN168" i="5"/>
  <c r="AM168" i="5"/>
  <c r="AL168" i="5"/>
  <c r="AK168" i="5"/>
  <c r="AN166" i="5"/>
  <c r="AM166" i="5"/>
  <c r="AO163" i="5"/>
  <c r="AN163" i="5"/>
  <c r="AM163" i="5"/>
  <c r="AL163" i="5"/>
  <c r="AK163" i="5"/>
  <c r="E13" i="6" l="1"/>
  <c r="E14" i="6"/>
  <c r="E15" i="6"/>
  <c r="E16" i="6"/>
  <c r="E17" i="6"/>
  <c r="D18" i="6"/>
  <c r="C18" i="6"/>
  <c r="D10" i="6"/>
  <c r="E9" i="6"/>
  <c r="E8" i="6"/>
  <c r="E7" i="6"/>
  <c r="E6" i="6"/>
  <c r="E5" i="6"/>
  <c r="BC171" i="5"/>
  <c r="BB171" i="5"/>
  <c r="BA171" i="5"/>
  <c r="AZ171" i="5"/>
  <c r="BC170" i="5"/>
  <c r="BB170" i="5"/>
  <c r="BA170" i="5"/>
  <c r="AZ170" i="5"/>
  <c r="BC169" i="5"/>
  <c r="BB169" i="5"/>
  <c r="BA169" i="5"/>
  <c r="AZ169" i="5"/>
  <c r="BC168" i="5"/>
  <c r="BB168" i="5"/>
  <c r="BA168" i="5"/>
  <c r="AZ168" i="5"/>
  <c r="BD166" i="5"/>
  <c r="BC166" i="5"/>
  <c r="BB166" i="5"/>
  <c r="BA166" i="5"/>
  <c r="AZ166" i="5"/>
  <c r="BD163" i="5"/>
  <c r="BC163" i="5"/>
  <c r="BB163" i="5"/>
  <c r="BA163" i="5"/>
  <c r="AZ163" i="5"/>
  <c r="BA156" i="5"/>
  <c r="AZ156" i="5"/>
  <c r="AT171" i="5"/>
  <c r="AS171" i="5"/>
  <c r="AR171" i="5"/>
  <c r="AQ171" i="5"/>
  <c r="AP171" i="5"/>
  <c r="AT170" i="5"/>
  <c r="AS170" i="5"/>
  <c r="AR170" i="5"/>
  <c r="AQ170" i="5"/>
  <c r="AP170" i="5"/>
  <c r="AT169" i="5"/>
  <c r="AS169" i="5"/>
  <c r="AR169" i="5"/>
  <c r="AQ169" i="5"/>
  <c r="AP169" i="5"/>
  <c r="AT168" i="5"/>
  <c r="AS168" i="5"/>
  <c r="AR168" i="5"/>
  <c r="AQ168" i="5"/>
  <c r="AP168" i="5"/>
  <c r="AT163" i="5"/>
  <c r="AS163" i="5"/>
  <c r="AR163" i="5"/>
  <c r="AQ163" i="5"/>
  <c r="AP163" i="5"/>
  <c r="AH173" i="5"/>
  <c r="AJ171" i="5"/>
  <c r="AI171" i="5"/>
  <c r="AH171" i="5"/>
  <c r="AG171" i="5"/>
  <c r="AF171" i="5"/>
  <c r="AE171" i="5"/>
  <c r="AD171" i="5"/>
  <c r="AC171" i="5"/>
  <c r="AB171" i="5"/>
  <c r="AA171" i="5"/>
  <c r="AJ170" i="5"/>
  <c r="AI170" i="5"/>
  <c r="AH170" i="5"/>
  <c r="AG170" i="5"/>
  <c r="AF170" i="5"/>
  <c r="AE170" i="5"/>
  <c r="AD170" i="5"/>
  <c r="AC170" i="5"/>
  <c r="AB170" i="5"/>
  <c r="AA170" i="5"/>
  <c r="AJ169" i="5"/>
  <c r="AI169" i="5"/>
  <c r="AH169" i="5"/>
  <c r="AG169" i="5"/>
  <c r="AF169" i="5"/>
  <c r="AE169" i="5"/>
  <c r="AD169" i="5"/>
  <c r="AC169" i="5"/>
  <c r="AB169" i="5"/>
  <c r="AA169" i="5"/>
  <c r="AJ168" i="5"/>
  <c r="AI168" i="5"/>
  <c r="AH168" i="5"/>
  <c r="AG168" i="5"/>
  <c r="AF168" i="5"/>
  <c r="AE168" i="5"/>
  <c r="AD168" i="5"/>
  <c r="AC168" i="5"/>
  <c r="AB168" i="5"/>
  <c r="AA168" i="5"/>
  <c r="AJ163" i="5"/>
  <c r="AI163" i="5"/>
  <c r="AH163" i="5"/>
  <c r="AG163" i="5"/>
  <c r="AF163" i="5"/>
  <c r="AE163" i="5"/>
  <c r="AD163" i="5"/>
  <c r="AC163" i="5"/>
  <c r="AB163" i="5"/>
  <c r="AA163" i="5"/>
  <c r="E18" i="6" l="1"/>
  <c r="C10" i="6"/>
  <c r="E10" i="6" s="1"/>
</calcChain>
</file>

<file path=xl/comments1.xml><?xml version="1.0" encoding="utf-8"?>
<comments xmlns="http://schemas.openxmlformats.org/spreadsheetml/2006/main">
  <authors>
    <author>hschutte</author>
  </authors>
  <commentList>
    <comment ref="AF153" authorId="0">
      <text>
        <r>
          <rPr>
            <b/>
            <sz val="9"/>
            <color indexed="81"/>
            <rFont val="Tahoma"/>
            <family val="2"/>
          </rPr>
          <t>hschutte:</t>
        </r>
        <r>
          <rPr>
            <sz val="9"/>
            <color indexed="81"/>
            <rFont val="Tahoma"/>
            <family val="2"/>
          </rPr>
          <t xml:space="preserve">
Split not disclosed in AFS</t>
        </r>
      </text>
    </comment>
    <comment ref="AK153" authorId="0">
      <text>
        <r>
          <rPr>
            <b/>
            <sz val="9"/>
            <color indexed="81"/>
            <rFont val="Tahoma"/>
            <family val="2"/>
          </rPr>
          <t>hschutte:</t>
        </r>
        <r>
          <rPr>
            <sz val="9"/>
            <color indexed="81"/>
            <rFont val="Tahoma"/>
            <family val="2"/>
          </rPr>
          <t xml:space="preserve">
Split between residential and business not disclosed</t>
        </r>
      </text>
    </comment>
    <comment ref="BJ153" authorId="0">
      <text>
        <r>
          <rPr>
            <b/>
            <sz val="9"/>
            <color indexed="81"/>
            <rFont val="Tahoma"/>
            <family val="2"/>
          </rPr>
          <t>hschutte:</t>
        </r>
        <r>
          <rPr>
            <sz val="9"/>
            <color indexed="81"/>
            <rFont val="Tahoma"/>
            <family val="2"/>
          </rPr>
          <t xml:space="preserve">
Split between residential and business not available
</t>
        </r>
      </text>
    </comment>
    <comment ref="AF154" authorId="0">
      <text>
        <r>
          <rPr>
            <b/>
            <sz val="9"/>
            <color indexed="81"/>
            <rFont val="Tahoma"/>
            <family val="2"/>
          </rPr>
          <t>hschutte:</t>
        </r>
        <r>
          <rPr>
            <sz val="9"/>
            <color indexed="81"/>
            <rFont val="Tahoma"/>
            <family val="2"/>
          </rPr>
          <t xml:space="preserve">
Split not disclosed in AFS</t>
        </r>
      </text>
    </comment>
    <comment ref="AK154" authorId="0">
      <text>
        <r>
          <rPr>
            <b/>
            <sz val="9"/>
            <color indexed="81"/>
            <rFont val="Tahoma"/>
            <family val="2"/>
          </rPr>
          <t>hschutte:</t>
        </r>
        <r>
          <rPr>
            <sz val="9"/>
            <color indexed="81"/>
            <rFont val="Tahoma"/>
            <family val="2"/>
          </rPr>
          <t xml:space="preserve">
Split between residential and business not disclosed</t>
        </r>
      </text>
    </comment>
    <comment ref="BJ154" authorId="0">
      <text>
        <r>
          <rPr>
            <b/>
            <sz val="9"/>
            <color indexed="81"/>
            <rFont val="Tahoma"/>
            <family val="2"/>
          </rPr>
          <t>hschutte:</t>
        </r>
        <r>
          <rPr>
            <sz val="9"/>
            <color indexed="81"/>
            <rFont val="Tahoma"/>
            <family val="2"/>
          </rPr>
          <t xml:space="preserve">
Split between residential and business not available</t>
        </r>
      </text>
    </comment>
    <comment ref="BN172" authorId="0">
      <text>
        <r>
          <rPr>
            <b/>
            <sz val="9"/>
            <color indexed="81"/>
            <rFont val="Tahoma"/>
            <family val="2"/>
          </rPr>
          <t>hschutte:</t>
        </r>
        <r>
          <rPr>
            <sz val="9"/>
            <color indexed="81"/>
            <rFont val="Tahoma"/>
            <family val="2"/>
          </rPr>
          <t xml:space="preserve">
Not disclosed</t>
        </r>
      </text>
    </comment>
  </commentList>
</comments>
</file>

<file path=xl/sharedStrings.xml><?xml version="1.0" encoding="utf-8"?>
<sst xmlns="http://schemas.openxmlformats.org/spreadsheetml/2006/main" count="4785" uniqueCount="1106">
  <si>
    <t>South African Cities Network Urban Indicators</t>
  </si>
  <si>
    <t>Demographics</t>
  </si>
  <si>
    <t>Population size</t>
  </si>
  <si>
    <t>City of Johannesburg</t>
  </si>
  <si>
    <t>City of Tshwane</t>
  </si>
  <si>
    <t>City of Cape Town</t>
  </si>
  <si>
    <t>Nelson Mandela Bay Municipality</t>
  </si>
  <si>
    <t>Mangaung Municipality</t>
  </si>
  <si>
    <t>Buffalo City Municipality</t>
  </si>
  <si>
    <t>Households</t>
  </si>
  <si>
    <t>Population projections</t>
  </si>
  <si>
    <t>Female population</t>
  </si>
  <si>
    <t>Male population</t>
  </si>
  <si>
    <t>Sex ratio</t>
  </si>
  <si>
    <t>Dependency ratio (age &amp; economic)</t>
  </si>
  <si>
    <t>Child population</t>
  </si>
  <si>
    <t>Youth population</t>
  </si>
  <si>
    <t>Adult population</t>
  </si>
  <si>
    <t>Elderly population</t>
  </si>
  <si>
    <t>Net migration rate</t>
  </si>
  <si>
    <t>International immigrants rate</t>
  </si>
  <si>
    <t>Indigent</t>
  </si>
  <si>
    <t>Poverty rate</t>
  </si>
  <si>
    <t>Life expectancy</t>
  </si>
  <si>
    <t>Population density (persons per square km)</t>
  </si>
  <si>
    <t>Population growth rate (1996 - 2001 and 2001 -2011)</t>
  </si>
  <si>
    <t>n/a</t>
  </si>
  <si>
    <r>
      <rPr>
        <b/>
        <sz val="9"/>
        <color theme="1"/>
        <rFont val="Calibri"/>
        <family val="2"/>
        <scheme val="minor"/>
      </rPr>
      <t>Source:</t>
    </r>
    <r>
      <rPr>
        <sz val="9"/>
        <color theme="1"/>
        <rFont val="Calibri"/>
        <family val="2"/>
        <scheme val="minor"/>
      </rPr>
      <t xml:space="preserve"> Statistics South Africa - Census Data</t>
    </r>
  </si>
  <si>
    <r>
      <rPr>
        <b/>
        <sz val="9"/>
        <color theme="1"/>
        <rFont val="Calibri"/>
        <family val="2"/>
        <scheme val="minor"/>
      </rPr>
      <t>Frequency:</t>
    </r>
    <r>
      <rPr>
        <sz val="9"/>
        <color theme="1"/>
        <rFont val="Calibri"/>
        <family val="2"/>
        <scheme val="minor"/>
      </rPr>
      <t xml:space="preserve"> every 10 years</t>
    </r>
  </si>
  <si>
    <r>
      <rPr>
        <b/>
        <sz val="9"/>
        <color theme="1"/>
        <rFont val="Calibri"/>
        <family val="2"/>
        <scheme val="minor"/>
      </rPr>
      <t xml:space="preserve">Data level: </t>
    </r>
    <r>
      <rPr>
        <sz val="9"/>
        <color theme="1"/>
        <rFont val="Calibri"/>
        <family val="2"/>
        <scheme val="minor"/>
      </rPr>
      <t>municipal data (metropolitan)</t>
    </r>
  </si>
  <si>
    <t>Gross Value Add (GVA)</t>
  </si>
  <si>
    <t>Exports</t>
  </si>
  <si>
    <t>Imports</t>
  </si>
  <si>
    <t>Labour productivity</t>
  </si>
  <si>
    <t>Cost of living</t>
  </si>
  <si>
    <t>Economically active population</t>
  </si>
  <si>
    <t>Employment Absorption Rate (EAR)</t>
  </si>
  <si>
    <t>Employment</t>
  </si>
  <si>
    <t>Unemployment Rate</t>
  </si>
  <si>
    <t>Vulnerable population unemployment</t>
  </si>
  <si>
    <t>Skills supply</t>
  </si>
  <si>
    <t>Skills demand</t>
  </si>
  <si>
    <t>Human Development Index (HDI)</t>
  </si>
  <si>
    <t>Capital productivity</t>
  </si>
  <si>
    <t>Registered businesses</t>
  </si>
  <si>
    <t>Company survival rates</t>
  </si>
  <si>
    <t>Private sector employment</t>
  </si>
  <si>
    <t>Patents</t>
  </si>
  <si>
    <t>Debtor servicing</t>
  </si>
  <si>
    <t>Building plan value</t>
  </si>
  <si>
    <t>Residential building  plans</t>
  </si>
  <si>
    <t>Industrial building plans</t>
  </si>
  <si>
    <t>Commercial building plans</t>
  </si>
  <si>
    <t>House prices</t>
  </si>
  <si>
    <t>Business start-up</t>
  </si>
  <si>
    <t>Construction permits</t>
  </si>
  <si>
    <t>Electricity connection</t>
  </si>
  <si>
    <t>Property registration</t>
  </si>
  <si>
    <t>Airline destinations</t>
  </si>
  <si>
    <t>Passenger arrivals</t>
  </si>
  <si>
    <t>Cargo (air &amp; ports)</t>
  </si>
  <si>
    <t xml:space="preserve">Number of Fixed-landline telephone connections per 100,000 population </t>
  </si>
  <si>
    <t xml:space="preserve">Number of mobile telephone connections per 100,000 population </t>
  </si>
  <si>
    <t>Number of internet connections per 100,000 population</t>
  </si>
  <si>
    <t>Productive</t>
  </si>
  <si>
    <t>Sources:</t>
  </si>
  <si>
    <t>GVA - IHS Global Insight Regional Explorer</t>
  </si>
  <si>
    <t>Household income</t>
  </si>
  <si>
    <t>Unemployment, employed, household income - Census (Stats SA)</t>
  </si>
  <si>
    <t>Police stations - SAPS</t>
  </si>
  <si>
    <t>Crime - violent crimes</t>
  </si>
  <si>
    <t>Crime - property crimes</t>
  </si>
  <si>
    <t>Crime - Social fabric crimes</t>
  </si>
  <si>
    <t>Crime - commercial crimes</t>
  </si>
  <si>
    <t>Learner enrolment- primary</t>
  </si>
  <si>
    <t>Learner enrolment- secondary</t>
  </si>
  <si>
    <t>Learner-educator ratio</t>
  </si>
  <si>
    <t>Learner-classroom ratio</t>
  </si>
  <si>
    <t>Completion rate - primary school</t>
  </si>
  <si>
    <t>Completion rate - secondary school</t>
  </si>
  <si>
    <t>Literacy rates</t>
  </si>
  <si>
    <t>Matric pass rate</t>
  </si>
  <si>
    <t>ARV Clinics - Metro</t>
  </si>
  <si>
    <t>Hospitals - provincial</t>
  </si>
  <si>
    <t>Mortality - infant</t>
  </si>
  <si>
    <t>Mortality - maternal</t>
  </si>
  <si>
    <t>Multiple deprivation index</t>
  </si>
  <si>
    <t>Dwelling type</t>
  </si>
  <si>
    <t>formal</t>
  </si>
  <si>
    <t>informal</t>
  </si>
  <si>
    <t>traditional</t>
  </si>
  <si>
    <t xml:space="preserve">Dwelling tenure </t>
  </si>
  <si>
    <t>Informal shelter growth</t>
  </si>
  <si>
    <t>New Housing delivery</t>
  </si>
  <si>
    <t>owned and fully paid</t>
  </si>
  <si>
    <t>owned but not yet paid off</t>
  </si>
  <si>
    <t>rented</t>
  </si>
  <si>
    <t>occupied rent-free</t>
  </si>
  <si>
    <t xml:space="preserve">Evictions and forced relocations </t>
  </si>
  <si>
    <t>Repossessed houses</t>
  </si>
  <si>
    <t>Housing Affordability Index</t>
  </si>
  <si>
    <t xml:space="preserve">Household cost </t>
  </si>
  <si>
    <t>Service Account Arrears</t>
  </si>
  <si>
    <t xml:space="preserve">Mortgage bonds - Banks </t>
  </si>
  <si>
    <t xml:space="preserve">Housing market </t>
  </si>
  <si>
    <t>Private sector investments</t>
  </si>
  <si>
    <t>Accredited municipalities</t>
  </si>
  <si>
    <t>Accreditation capacity</t>
  </si>
  <si>
    <t>Social facilities</t>
  </si>
  <si>
    <t>Sustainable Human Settlement (SHS) Land</t>
  </si>
  <si>
    <t>Passenger travel costs</t>
  </si>
  <si>
    <t>Parking</t>
  </si>
  <si>
    <t>Commuter information systems</t>
  </si>
  <si>
    <t>Public transport rezoning</t>
  </si>
  <si>
    <t>Public transport building plans</t>
  </si>
  <si>
    <t>Transportation spend</t>
  </si>
  <si>
    <t>Transport passenger trips</t>
  </si>
  <si>
    <t>Transport passengers</t>
  </si>
  <si>
    <t>Private transport</t>
  </si>
  <si>
    <t>Public transport vehicles</t>
  </si>
  <si>
    <t>Motor vehicle ownership</t>
  </si>
  <si>
    <t>Transport operating costs</t>
  </si>
  <si>
    <t>Travel time to work</t>
  </si>
  <si>
    <t>Passenger waiting times</t>
  </si>
  <si>
    <t>Travel distance</t>
  </si>
  <si>
    <t>Public transport land value</t>
  </si>
  <si>
    <t>Safety of transport systems (Road fatalities)</t>
  </si>
  <si>
    <t xml:space="preserve">Water availability </t>
  </si>
  <si>
    <t xml:space="preserve">Water consumption </t>
  </si>
  <si>
    <t>Water losses</t>
  </si>
  <si>
    <t>River and wetland health</t>
  </si>
  <si>
    <t>Reservoir water availability</t>
  </si>
  <si>
    <t>Energy supply</t>
  </si>
  <si>
    <t>Energy generation</t>
  </si>
  <si>
    <t>Green energy</t>
  </si>
  <si>
    <t>Renewable energy</t>
  </si>
  <si>
    <t>Alternative energy use</t>
  </si>
  <si>
    <t>Energy losses</t>
  </si>
  <si>
    <t>Green house gas (GHG) emissions (carbon footprint)</t>
  </si>
  <si>
    <t>Temperature</t>
  </si>
  <si>
    <t>Rainfall</t>
  </si>
  <si>
    <t>Waste generation</t>
  </si>
  <si>
    <t xml:space="preserve">Waste disposal  </t>
  </si>
  <si>
    <t>Landfill availability</t>
  </si>
  <si>
    <t>Waste disposal facilities</t>
  </si>
  <si>
    <t>Waste collection</t>
  </si>
  <si>
    <t>Waste recycling schemes</t>
  </si>
  <si>
    <t>Waste to energy</t>
  </si>
  <si>
    <t>Ambient air quality</t>
  </si>
  <si>
    <t>Residential fuel combustion</t>
  </si>
  <si>
    <t>Transport air pollutants</t>
  </si>
  <si>
    <t>Respiratory disease</t>
  </si>
  <si>
    <t>Tuberculosis</t>
  </si>
  <si>
    <t>HIV/Aids</t>
  </si>
  <si>
    <t>Land transformation</t>
  </si>
  <si>
    <t>Coastal land transformation</t>
  </si>
  <si>
    <t>Open Space</t>
  </si>
  <si>
    <t>Household Food Insecurity Access Scale (HFIAS)</t>
  </si>
  <si>
    <t>Hunger</t>
  </si>
  <si>
    <t>Sustainable</t>
  </si>
  <si>
    <t>Inclusive</t>
  </si>
  <si>
    <t>Municipal management vacancies</t>
  </si>
  <si>
    <t>Municipal posts</t>
  </si>
  <si>
    <t>Performance management</t>
  </si>
  <si>
    <t>Municipal staff vacancies</t>
  </si>
  <si>
    <t>Municipal Skills Shortage</t>
  </si>
  <si>
    <t>Electricity interruptions</t>
  </si>
  <si>
    <t>Duration electricity interruptions</t>
  </si>
  <si>
    <t>Water interruptions</t>
  </si>
  <si>
    <t>Duration water interruptions</t>
  </si>
  <si>
    <t>Voter registration - national &amp; local</t>
  </si>
  <si>
    <t>Voter turnout - national &amp; local</t>
  </si>
  <si>
    <t>Consultation on Rule-making</t>
  </si>
  <si>
    <t>Batho Pele principles</t>
  </si>
  <si>
    <t>Citizen satisfaction</t>
  </si>
  <si>
    <t>Community halls</t>
  </si>
  <si>
    <t>Libraries</t>
  </si>
  <si>
    <t>Fire stations</t>
  </si>
  <si>
    <t>Fire protection personnel - Metro</t>
  </si>
  <si>
    <t>Police personnel - SAPS</t>
  </si>
  <si>
    <t>Police personnel - Metro</t>
  </si>
  <si>
    <t>Fire protection services expenditure</t>
  </si>
  <si>
    <t>Schools</t>
  </si>
  <si>
    <t>Primary Health Care clinics - provincial</t>
  </si>
  <si>
    <t>Clinics - provincial</t>
  </si>
  <si>
    <t>Health and ambulance expenditure - provincial</t>
  </si>
  <si>
    <t>Health and ambulance expenditure - Metro</t>
  </si>
  <si>
    <t>Health workers - Metro</t>
  </si>
  <si>
    <t>Health workers - provincial</t>
  </si>
  <si>
    <t>Private practitioners</t>
  </si>
  <si>
    <t>ARV Clinics - provincial</t>
  </si>
  <si>
    <t>Clinics - Metro</t>
  </si>
  <si>
    <t>Primary Health Care clinics - Metro</t>
  </si>
  <si>
    <t>Waste management staff</t>
  </si>
  <si>
    <t>Waste management assets</t>
  </si>
  <si>
    <t>Waste facility maintenance &amp; repair</t>
  </si>
  <si>
    <t>IWMP Reporting</t>
  </si>
  <si>
    <t>Wastewater</t>
  </si>
  <si>
    <t>% allocated and spent of capital and maintenance budgets</t>
  </si>
  <si>
    <t>Capital and maintenance budgets</t>
  </si>
  <si>
    <t>External audit</t>
  </si>
  <si>
    <t>Internal audit</t>
  </si>
  <si>
    <t>Informal settlements</t>
  </si>
  <si>
    <t>Urbanization policy</t>
  </si>
  <si>
    <t>Land development</t>
  </si>
  <si>
    <t>Revenue profile</t>
  </si>
  <si>
    <t>Residential rates</t>
  </si>
  <si>
    <t>Business rates</t>
  </si>
  <si>
    <t>Services levy</t>
  </si>
  <si>
    <t>Grants</t>
  </si>
  <si>
    <t>Property rates</t>
  </si>
  <si>
    <t>Capital grants &amp; transfers</t>
  </si>
  <si>
    <t>Spending profile</t>
  </si>
  <si>
    <t>Capital expenditure</t>
  </si>
  <si>
    <t>Operating surplus</t>
  </si>
  <si>
    <t>Debt collection</t>
  </si>
  <si>
    <t>Debtors</t>
  </si>
  <si>
    <t>Bad Debt</t>
  </si>
  <si>
    <t>Remuneration costs</t>
  </si>
  <si>
    <t>Liabilities</t>
  </si>
  <si>
    <t>Cash position</t>
  </si>
  <si>
    <t>Acid test ratio</t>
  </si>
  <si>
    <t>Debt to income ratio</t>
  </si>
  <si>
    <t>Current ratio</t>
  </si>
  <si>
    <t>Debt ratio</t>
  </si>
  <si>
    <t>Budget funding</t>
  </si>
  <si>
    <t>Wasteful expenditure</t>
  </si>
  <si>
    <t>2013/14</t>
  </si>
  <si>
    <t>2012/13</t>
  </si>
  <si>
    <t>2011/12</t>
  </si>
  <si>
    <t>2010/11</t>
  </si>
  <si>
    <t>2009/10</t>
  </si>
  <si>
    <t>Unqualified with findings</t>
  </si>
  <si>
    <t>Qualified with findings</t>
  </si>
  <si>
    <t>Adverse with findings</t>
  </si>
  <si>
    <t>Unqualified with no findings</t>
  </si>
  <si>
    <t>TBA</t>
  </si>
  <si>
    <t>Demographic</t>
  </si>
  <si>
    <t>Percentage</t>
  </si>
  <si>
    <t>Gauteng</t>
  </si>
  <si>
    <t>Western Cape</t>
  </si>
  <si>
    <t>Kwa-Zulu Natal</t>
  </si>
  <si>
    <t>Free State</t>
  </si>
  <si>
    <t>North West</t>
  </si>
  <si>
    <t>Limpopo</t>
  </si>
  <si>
    <t>Mpumalanga</t>
  </si>
  <si>
    <t>Eastern Cape</t>
  </si>
  <si>
    <t>Hospital beds - provincial (public sector)</t>
  </si>
  <si>
    <t>Mortality - under 5 years per 1 000 births</t>
  </si>
  <si>
    <t>Well governed</t>
  </si>
  <si>
    <t>Northern Cape</t>
  </si>
  <si>
    <t>EThekwini Municipality</t>
  </si>
  <si>
    <t>Ekurhuleni Municipality</t>
  </si>
  <si>
    <t>Risk Score - blue drop</t>
  </si>
  <si>
    <t>Risk score - green drop</t>
  </si>
  <si>
    <t>Well Governed</t>
  </si>
  <si>
    <t>Access to free basic services to all qualifying people in the municipality:</t>
  </si>
  <si>
    <t>a) Access to water</t>
  </si>
  <si>
    <t>b) Access to sanitation</t>
  </si>
  <si>
    <t>c) Access to electricity</t>
  </si>
  <si>
    <t>d) Access to refuse removal - weekly</t>
  </si>
  <si>
    <t>Indicator</t>
  </si>
  <si>
    <t>Definition</t>
  </si>
  <si>
    <t>Theme</t>
  </si>
  <si>
    <t>Sub-Theme</t>
  </si>
  <si>
    <t>Programme</t>
  </si>
  <si>
    <t>Core / secondary</t>
  </si>
  <si>
    <t>Source</t>
  </si>
  <si>
    <t>Contact details</t>
  </si>
  <si>
    <t>Date of collection</t>
  </si>
  <si>
    <t>Date data available</t>
  </si>
  <si>
    <t>Links</t>
  </si>
  <si>
    <t>Spatial</t>
  </si>
  <si>
    <t>Form</t>
  </si>
  <si>
    <t>Unit of Analysis</t>
  </si>
  <si>
    <t>Notes</t>
  </si>
  <si>
    <t xml:space="preserve">Total population in Metro </t>
  </si>
  <si>
    <t>Demography</t>
  </si>
  <si>
    <t>Population</t>
  </si>
  <si>
    <t>Core</t>
  </si>
  <si>
    <t>Censuses/Community survey/Stats SA Mid-year estimates</t>
  </si>
  <si>
    <t>Mbulelo Selebe, MbuleloS@statssa.gov.za; Louis van Tonder, LouisVT@statssa.gov.za</t>
  </si>
  <si>
    <t>10 yearly/ 5 yearly/ Annually</t>
  </si>
  <si>
    <t>mid-Year (Annually)</t>
  </si>
  <si>
    <t>SoCR, GCIF, UNStat</t>
  </si>
  <si>
    <t>Metro</t>
  </si>
  <si>
    <t>Annually</t>
  </si>
  <si>
    <t>Distribution of the population by subplace/suburb</t>
  </si>
  <si>
    <t>Total, ratio to national population</t>
  </si>
  <si>
    <t>Number</t>
  </si>
  <si>
    <t>Total population per sq. km. by area type</t>
  </si>
  <si>
    <t>SoCR, GCIF</t>
  </si>
  <si>
    <t>To define</t>
  </si>
  <si>
    <t>Ratio</t>
  </si>
  <si>
    <t>To define population the spatial boundaries of the Metro must be in a projection (eg UTM)</t>
  </si>
  <si>
    <t>Total households by type</t>
  </si>
  <si>
    <t>Non-financial census/ General Household Survey</t>
  </si>
  <si>
    <t>Pat Naidoo, PatrickN@statssa.gov.za; Isabel Schmidt, isabelsc@statssa.gov.za</t>
  </si>
  <si>
    <t>November (Annually)/September (Annually)</t>
  </si>
  <si>
    <t>June (following year)/May (following year)</t>
  </si>
  <si>
    <t>Almanac, GCIF, UNStat</t>
  </si>
  <si>
    <t>Total, annual growth</t>
  </si>
  <si>
    <t>Percentage  increase or decrease in the population</t>
  </si>
  <si>
    <t>Almanac, GCIF</t>
  </si>
  <si>
    <t>The annual population growth rate refers to the rate at which the population is increasing or decreasing (negative sign) in a given year, expressed as a percentage of the base population. The rate is an average for the five-year period 2010-2015.</t>
  </si>
  <si>
    <t>Population projections are estimates of total size or composition of populations in the future.</t>
  </si>
  <si>
    <t>Secondary</t>
  </si>
  <si>
    <t>Total by year</t>
  </si>
  <si>
    <t xml:space="preserve">Total female population in Metro </t>
  </si>
  <si>
    <t>UNStat</t>
  </si>
  <si>
    <t xml:space="preserve">Total male population in Metro </t>
  </si>
  <si>
    <t xml:space="preserve">Total number of males per 100 females </t>
  </si>
  <si>
    <t>GCIF, UNStat</t>
  </si>
  <si>
    <t>Ratio, comparison to national ratio</t>
  </si>
  <si>
    <t>Total number of people aged 0-14 years and aged 65 years and older as a portion of the population aged 15-64 years per 100 population</t>
  </si>
  <si>
    <t>Total population under 14 years of age</t>
  </si>
  <si>
    <t>Number, percentage</t>
  </si>
  <si>
    <t>Total population 15-24 years of age</t>
  </si>
  <si>
    <t>Total population 25-64 years of age</t>
  </si>
  <si>
    <t>Total population aged 66 years and older</t>
  </si>
  <si>
    <t>Difference between in-migrantions and out-migrantions over a period of time</t>
  </si>
  <si>
    <t>Migration</t>
  </si>
  <si>
    <t xml:space="preserve">Censuses </t>
  </si>
  <si>
    <t>Mbulelo Selebe, MbuleloS@statssa.gov.za;</t>
  </si>
  <si>
    <t>10 yearly</t>
  </si>
  <si>
    <t>18 months later</t>
  </si>
  <si>
    <t>Decentennial</t>
  </si>
  <si>
    <t>Total number of international immigrants over a period of time per 1,000 population</t>
  </si>
  <si>
    <t>Number of registered indigent households</t>
  </si>
  <si>
    <t>Poverty &amp; inequality</t>
  </si>
  <si>
    <t>Inequality - Social</t>
  </si>
  <si>
    <t>Non-financial census</t>
  </si>
  <si>
    <t>Pat Naidoo, PatrickN@statssa.gov.za</t>
  </si>
  <si>
    <t>November (Annually)</t>
  </si>
  <si>
    <t>June (following year)</t>
  </si>
  <si>
    <t>Total, short term &amp; long term trends, location quotient</t>
  </si>
  <si>
    <t>Isabel Schmidt, isabelsc@statssa.gov.za</t>
  </si>
  <si>
    <t>To be negotiated</t>
  </si>
  <si>
    <t>Ratio short term &amp; long term trends, location quotient</t>
  </si>
  <si>
    <t>A measure of inequality in income or wealth</t>
  </si>
  <si>
    <t>Inequality - Health</t>
  </si>
  <si>
    <t>Frequency</t>
  </si>
  <si>
    <t xml:space="preserve">Resolution </t>
  </si>
  <si>
    <t>The average number of years that a newborn could expect to live, if he/she were subject to the age-specific mortality rates of a given period</t>
  </si>
  <si>
    <t>Core/secondary</t>
  </si>
  <si>
    <t>Total value (Rands) of goods and services produced</t>
  </si>
  <si>
    <t>Productive Cities</t>
  </si>
  <si>
    <t>ECONOMY</t>
  </si>
  <si>
    <t>Commercial</t>
  </si>
  <si>
    <t>Global Insight, (012) 622 9660</t>
  </si>
  <si>
    <t>To be determined</t>
  </si>
  <si>
    <t>Total, ratio to national GVA, short term &amp; long term trends, by sector</t>
  </si>
  <si>
    <t>Value of all goods and services exported</t>
  </si>
  <si>
    <t>Financial census</t>
  </si>
  <si>
    <t>Total, ratio to imports &amp; national average, short term &amp; long term trends, sector</t>
  </si>
  <si>
    <t>Value of all goods and services imported</t>
  </si>
  <si>
    <t>Total, ratio to exports &amp; national average, short term &amp; long term trends, sector</t>
  </si>
  <si>
    <t xml:space="preserve">Ratio of volume measure of output (GDP/GVA) to a measure of input use (the total number of hours worked or total employment)
</t>
  </si>
  <si>
    <t>Labour Force Survey, Statistics South Africa</t>
  </si>
  <si>
    <t>Peter Buwembo, PeterB@statssa.gov.za</t>
  </si>
  <si>
    <t xml:space="preserve">Total &amp; normalized, ratio to national average, short term &amp; long term trends, sector </t>
  </si>
  <si>
    <t>Total income from different sources for all household and by dwelling type</t>
  </si>
  <si>
    <t>Censuses/Community Survey/General Household Surveys</t>
  </si>
  <si>
    <t>Mbulelo Selebe, MbuleloS@statssa.gov.za;  Isabel Schmidt, isabelsc@statssa.gov.za</t>
  </si>
  <si>
    <t>10 yearly/ 5 yearly/ September (Annually)</t>
  </si>
  <si>
    <t>Totals, ratio to national average, short term &amp; long term trends</t>
  </si>
  <si>
    <t>Total population employed and seeking employment within the 15-66 year age group</t>
  </si>
  <si>
    <t>EMPLOYMENT</t>
  </si>
  <si>
    <t>Proportion of the total working-age population / EAP that is employed.</t>
  </si>
  <si>
    <t>Total (formal &amp; informal), disaggregated by sector</t>
  </si>
  <si>
    <t>Total formal &amp; informal, ratio to national by type,  sector, LQ</t>
  </si>
  <si>
    <t>Number of unemployed workers as a proportion of the total labour force</t>
  </si>
  <si>
    <t>Women, youth, disabled proportion of unemployed</t>
  </si>
  <si>
    <t>General Household Surveys</t>
  </si>
  <si>
    <t xml:space="preserve"> September (Annually)</t>
  </si>
  <si>
    <t>May (following year)</t>
  </si>
  <si>
    <t>Number of higher education degrees and diplomas</t>
  </si>
  <si>
    <t>HUMAN CAPITAL</t>
  </si>
  <si>
    <t>Total, percentage, ratio to national average, short term &amp; long term trends, sector</t>
  </si>
  <si>
    <t>Ratio of unemployed population with higher education degrees and diplomas to employed population with higher education degrees and diplomas</t>
  </si>
  <si>
    <t>The HDI combines three dimensions: A long and healthy life: Life expectancy at birth; Education index: Mean years of schooling and Expected years of schooling; A decent standard of living: GNI per capita (PPP US$)</t>
  </si>
  <si>
    <t>Total</t>
  </si>
  <si>
    <t>Capital productivity is measured as real output per unit of capital services.</t>
  </si>
  <si>
    <t>PRODUCTIVITY</t>
  </si>
  <si>
    <t>core</t>
  </si>
  <si>
    <t xml:space="preserve">Capital Expenditure </t>
  </si>
  <si>
    <t>Number of registered corporations (private, formal sector companies with limited liability)</t>
  </si>
  <si>
    <t>ENTERPRISE</t>
  </si>
  <si>
    <t>Business Register</t>
  </si>
  <si>
    <t>Ronel Cloete/Refilwe Ramorei/Maria van Niekerk</t>
  </si>
  <si>
    <t>Totals, short term &amp; long term trends</t>
  </si>
  <si>
    <t>See World Bank for data - http://www.doingbusiness.org/data/exploretopics/entrepreneurship/methodology</t>
  </si>
  <si>
    <t>Percentage of registered companies still registered</t>
  </si>
  <si>
    <t>Percentage people employed in the private sector</t>
  </si>
  <si>
    <t xml:space="preserve">Number of new patents issued </t>
  </si>
  <si>
    <t>INNOVATION</t>
  </si>
  <si>
    <t>Companies and Intellectual Property Commission</t>
  </si>
  <si>
    <t>annualreturns@cipc.co.za</t>
  </si>
  <si>
    <t>The annual total number of patents issued to resident persons and corporations of the city is determined. The number of patents registered to resident persons or corporations of the city is divided by the result of the city population divided by 100,000. The result is expressed as the number of patents registered per 100,000 population.
Government Patent Offices maintain records of all patents registered to persons and corporations within their jurisdiction.</t>
  </si>
  <si>
    <t>Average number of days to pay service providers (30 day payment target)</t>
  </si>
  <si>
    <t>Business climate</t>
  </si>
  <si>
    <t>National Treasury Local Government Database</t>
  </si>
  <si>
    <t>Elsabe Rossouw, Elsabe.Rossouw@treasury.gov.za</t>
  </si>
  <si>
    <t>Value of all building plan applications and approvals</t>
  </si>
  <si>
    <t>INVESTMENT - Credit rating</t>
  </si>
  <si>
    <t>Building statistics</t>
  </si>
  <si>
    <t>Thanyani Maremba, ThanyanIMar@statssa.gov.za</t>
  </si>
  <si>
    <t>Monthly</t>
  </si>
  <si>
    <t>Metro (&amp; sub-metro)</t>
  </si>
  <si>
    <t>Total, ratio to total &amp; national average, short term &amp; long term trends, sector</t>
  </si>
  <si>
    <t>NB: Option of looking at completed buildings rather than plans because of the lag period associated with plans</t>
  </si>
  <si>
    <t>Number and value of residential building applications applications and approvals</t>
  </si>
  <si>
    <t>Number and value of industrial building applications applications and approvals</t>
  </si>
  <si>
    <t>Number and value of commercial building applications applications and approvals</t>
  </si>
  <si>
    <t>Average price of residential housing transactions</t>
  </si>
  <si>
    <t>ABSA/FNB</t>
  </si>
  <si>
    <t>Jacques du Toit, jacques@absa.co.za, +27 (0)11 350 7246; John Loos, john.loos@fnb.co.za, 011-6490125</t>
  </si>
  <si>
    <t>Average, ratio to total &amp; national average, short term &amp; long term trends, sector</t>
  </si>
  <si>
    <t>Number of days to register business</t>
  </si>
  <si>
    <t>INVESTMENT - Climate</t>
  </si>
  <si>
    <t>Metros</t>
  </si>
  <si>
    <t>SNDB</t>
  </si>
  <si>
    <t>Number of days for construction permit to be issued</t>
  </si>
  <si>
    <t>Number of days for electricity to be connected</t>
  </si>
  <si>
    <t>Location of subsidized housing project</t>
  </si>
  <si>
    <t>Number of days for property to be registered</t>
  </si>
  <si>
    <t>Number of registered domestic and international airlines arriving and departing from airports in Metro</t>
  </si>
  <si>
    <t>CONNECTIVITY - Physical connectivity</t>
  </si>
  <si>
    <t>SA Tourism/ACSA/SA Civil Authority</t>
  </si>
  <si>
    <t>Mdu Biyela, mdu@southafrica.net, 011 895 3087</t>
  </si>
  <si>
    <t>World Bank indicators</t>
  </si>
  <si>
    <t>Total international, regional &amp; domestic</t>
  </si>
  <si>
    <t>Number of domestic and international passengers arriving and departing from airports in Metro</t>
  </si>
  <si>
    <t>Mdu Biyela, mdu@southafrica.net, 011 895 3088</t>
  </si>
  <si>
    <t>Total international, regional &amp; domestic, ratio to total &amp; national average, short term &amp; long term trends, sector</t>
  </si>
  <si>
    <t>Tonnage of incoming and outgoing cargo being handled by airports and ports</t>
  </si>
  <si>
    <t>ACSA/National Ports Authority/Stats SA</t>
  </si>
  <si>
    <t xml:space="preserve">Vincent Parker, 012-3104780 </t>
  </si>
  <si>
    <t>Total tons, ratio to total &amp; national average, short term &amp; long term trends, sector</t>
  </si>
  <si>
    <t>Total population with access to the fixed-landline telephone / 100,000</t>
  </si>
  <si>
    <t>Total population with access to the mobile-cellular telephone / 100,000</t>
  </si>
  <si>
    <t>CONNECTIVITY - Electronic connectivity</t>
  </si>
  <si>
    <t>Total population with access to the Internet / 100,000</t>
  </si>
  <si>
    <t>Core / Secondary</t>
  </si>
  <si>
    <t>Resolution</t>
  </si>
  <si>
    <t>Number of police stations</t>
  </si>
  <si>
    <t>Inclusive Cities</t>
  </si>
  <si>
    <t>PROTECTION OF RIGHTS AND PARTICIPATION - Safety and security</t>
  </si>
  <si>
    <t>SAPS/Stats SA</t>
  </si>
  <si>
    <t>Col. Klopper Piet, klopperp@saps.org.za</t>
  </si>
  <si>
    <t>Total, ratio</t>
  </si>
  <si>
    <t>Location of police stations</t>
  </si>
  <si>
    <t xml:space="preserve">Number of violent crimes </t>
  </si>
  <si>
    <t>Brig Nkoshilo H Seimela, SeimelaN@saps.gov.za, 012-360 1056</t>
  </si>
  <si>
    <t>March - April</t>
  </si>
  <si>
    <t>September</t>
  </si>
  <si>
    <t>Police station</t>
  </si>
  <si>
    <t>Distribution by police station</t>
  </si>
  <si>
    <t xml:space="preserve">Number of property related crimes </t>
  </si>
  <si>
    <t>Brig Nkoshilo H Seimela, SeimelaN@saps.gov.za, 012-360 1057</t>
  </si>
  <si>
    <t xml:space="preserve">Number of social fabric crimes </t>
  </si>
  <si>
    <t>Brig Nkoshilo H Seimela, SeimelaN@saps.gov.za, 012-360 1058</t>
  </si>
  <si>
    <t xml:space="preserve">Number of commercial crimes </t>
  </si>
  <si>
    <t>Brig Nkoshilo H Seimela, SeimelaN@saps.gov.za, 012-360 1059</t>
  </si>
  <si>
    <t>Total number of learners by gender enroled in primary school</t>
  </si>
  <si>
    <t>INEQUALITY - Education</t>
  </si>
  <si>
    <t>Dept of Basic Education - SNAP Survey/Annual Schools Survey</t>
  </si>
  <si>
    <t>Siza Shongwe, shongwe.s@dbe.gov.za, 012 357 3669</t>
  </si>
  <si>
    <t>Total by race &amp; gender, ratio to total &amp; national average, short term &amp; long term trends, sector</t>
  </si>
  <si>
    <t>Total number of learners by gender enroled in secondary school</t>
  </si>
  <si>
    <t xml:space="preserve">Total number of learners to educators </t>
  </si>
  <si>
    <t>Total number of learners to classrooms</t>
  </si>
  <si>
    <t xml:space="preserve"> Proportion of pupils starting grade 1 who reach last grade of primary school</t>
  </si>
  <si>
    <t>Dept of Basic Education/General Household Survey</t>
  </si>
  <si>
    <t xml:space="preserve"> Proportion of pupils starting grade 7 who reach last grade of secondary school</t>
  </si>
  <si>
    <t>Total population aged 15–24 years who are literate (can read and write) by age group, the result is then multiplied by 100.</t>
  </si>
  <si>
    <t>Number of clinics dispensing ARVs</t>
  </si>
  <si>
    <t>INEQUALITY - Health</t>
  </si>
  <si>
    <t>Dept of Health/ Health Systems Trust/Metro</t>
  </si>
  <si>
    <t>Naomi Massyn, Naomi.Massyn@hst.org.za</t>
  </si>
  <si>
    <t>Total, ratio to population</t>
  </si>
  <si>
    <t>Location of Metro ARV clinics</t>
  </si>
  <si>
    <t>Number of provincial hospitals</t>
  </si>
  <si>
    <t>Location of provincial hospitals</t>
  </si>
  <si>
    <t>Number of hospital beds per 100 000 population</t>
  </si>
  <si>
    <t>Dept of Health/ Health Systems Trust</t>
  </si>
  <si>
    <t>Number of infant deaths under 1 years of age per 1 000 live births.</t>
  </si>
  <si>
    <t>Number of children deaths under 5 years of age per 1 000 live births.</t>
  </si>
  <si>
    <t>Number of maternal  deaths under 1 years of age per 1 000 live births.</t>
  </si>
  <si>
    <t>Number of people deprived of income, housing, health care, education, employment, housing, services, crime free and suitable living envinment</t>
  </si>
  <si>
    <t>INEQUALITY - Services</t>
  </si>
  <si>
    <t xml:space="preserve">Number of dwellings by type and location </t>
  </si>
  <si>
    <t xml:space="preserve">Availability of shelter options </t>
  </si>
  <si>
    <t>Housing and Human Settlement</t>
  </si>
  <si>
    <t>Census/General Household Survey</t>
  </si>
  <si>
    <t>Mbulelo Selebe, MbuleloS@statssa.gov.za; Isabel Schmidt, isabelsc@statssa.gov.za</t>
  </si>
  <si>
    <t>10 yearly,  September (Annually)</t>
  </si>
  <si>
    <t>18 months later, May (following year)</t>
  </si>
  <si>
    <t>Percentage increase/decrease in number of informal shelter by location</t>
  </si>
  <si>
    <t>Census/General Household Survey/ Metro's</t>
  </si>
  <si>
    <t>11 yearly,  September (Annually)</t>
  </si>
  <si>
    <t>19 months later, May (following year)</t>
  </si>
  <si>
    <t>Number of new shelter opportunities by type and location  per year</t>
  </si>
  <si>
    <t>12 yearly,  September (Annually)</t>
  </si>
  <si>
    <t>20 months later, May (following year)</t>
  </si>
  <si>
    <t xml:space="preserve">Number of households by tenure type and dwelling type with location </t>
  </si>
  <si>
    <t>Tenure Security</t>
  </si>
  <si>
    <t>14 yearly,  September (Annually)</t>
  </si>
  <si>
    <t>22 months later, May (following year)</t>
  </si>
  <si>
    <t>Total number of evictions and forced relocations</t>
  </si>
  <si>
    <t>Metro (private and state accommodation)</t>
  </si>
  <si>
    <t>Total, ratio to total &amp; national average, short term &amp; long term trends</t>
  </si>
  <si>
    <t>Number of repossessed houses in different residential areas</t>
  </si>
  <si>
    <t xml:space="preserve">Affordability </t>
  </si>
  <si>
    <t>Magistrate courts, banks and auction houses)</t>
  </si>
  <si>
    <t>Quarterly</t>
  </si>
  <si>
    <t>Ratio average house price to the average employee remuneration</t>
  </si>
  <si>
    <t>Banks/ Financial Census</t>
  </si>
  <si>
    <t xml:space="preserve">Percentage of hh income spent on housing </t>
  </si>
  <si>
    <t xml:space="preserve">Census/General Household Survey </t>
  </si>
  <si>
    <t>Number of households that have arears on their service accounts</t>
  </si>
  <si>
    <t>Affordability</t>
  </si>
  <si>
    <t>Number and value of mortgage bonds approved by financial institutions</t>
  </si>
  <si>
    <t>Property Market</t>
  </si>
  <si>
    <t>Value of the housing stock and sales by sector</t>
  </si>
  <si>
    <t xml:space="preserve">Financial investments by the private sector in new housing developments by location and type </t>
  </si>
  <si>
    <t xml:space="preserve">Metro and developers </t>
  </si>
  <si>
    <t xml:space="preserve">Assignment status per metro </t>
  </si>
  <si>
    <t>Instituional Capacity for settlement delivery</t>
  </si>
  <si>
    <t>NDHS</t>
  </si>
  <si>
    <t>Total staff and funding allocated for accreditation responsibilities</t>
  </si>
  <si>
    <t>Number of social facilities by type (ie community halls, homes for children &amp; aged, creches &amp; child care, performing arts, museums, libraries, cemetary, sports facilities, swimming pools, parks)</t>
  </si>
  <si>
    <t>Access and Location</t>
  </si>
  <si>
    <t>Map of land uses showing parks &amp; recreation</t>
  </si>
  <si>
    <t>Land purchased for Sustainable Human Settlement (SHS)</t>
  </si>
  <si>
    <t>Housing Development Agency</t>
  </si>
  <si>
    <t>Location of SHS project land</t>
  </si>
  <si>
    <t xml:space="preserve">Percentage of hh income spent on transport </t>
  </si>
  <si>
    <t>Public transport</t>
  </si>
  <si>
    <t>National Household Travel Survey (NHTS)</t>
  </si>
  <si>
    <t>magdaj@statssa.gov.za, (012) 310 8358</t>
  </si>
  <si>
    <t xml:space="preserve">March  </t>
  </si>
  <si>
    <t>March (following year)</t>
  </si>
  <si>
    <t>Number of parking spaces by type of provision (eg street, buildings, office, transport)</t>
  </si>
  <si>
    <t>Public transport investment</t>
  </si>
  <si>
    <t>Value of investments in commuter information systems and support</t>
  </si>
  <si>
    <t>Number of rezoning applications for public transport</t>
  </si>
  <si>
    <t>Number of building plan applications for public transport</t>
  </si>
  <si>
    <t>Value of spent on transport by mode</t>
  </si>
  <si>
    <t xml:space="preserve">Metro </t>
  </si>
  <si>
    <t>Number of trips taken by type of public transportation (eg bus, BRT, rail)</t>
  </si>
  <si>
    <t>Access and mobility</t>
  </si>
  <si>
    <t>Number of transport passengers by mode (ie private car, taxi, metrobus, rail, BRT,cyclists and pedestrians)</t>
  </si>
  <si>
    <t>Number of kilometres travelled by private car</t>
  </si>
  <si>
    <t>Number of public transport vehicles by type (ie buses, taxis, train seats)</t>
  </si>
  <si>
    <t>Metro, Metrorail</t>
  </si>
  <si>
    <t xml:space="preserve">Number of cars registered to private owners over time </t>
  </si>
  <si>
    <t>RGT Smart/eNatis</t>
  </si>
  <si>
    <t>Average cost for transport trips by mode (ie private car, taxi, metrobus, rail, BRT)</t>
  </si>
  <si>
    <t>Average travel time to work by mode of transport (ie private car, taxi, metrobus, rail, BRT) &amp; area type</t>
  </si>
  <si>
    <t>Average time waiting for public transport by mode of transport</t>
  </si>
  <si>
    <t>Average travel distance to work by mode</t>
  </si>
  <si>
    <t>Change in land use and value around public transport nodes</t>
  </si>
  <si>
    <t>Planning and design</t>
  </si>
  <si>
    <t>Number of road fatalities per accident type (pedestrian, public/private transport)</t>
  </si>
  <si>
    <t>Sustainable transport</t>
  </si>
  <si>
    <t>Metro, Mortuary, Road Traffic Management Corp.</t>
  </si>
  <si>
    <t>Project Area</t>
  </si>
  <si>
    <t>Amount of water available in the catchment per capita</t>
  </si>
  <si>
    <t>Sustainable Cities</t>
  </si>
  <si>
    <t>Water</t>
  </si>
  <si>
    <t>Vulnerability</t>
  </si>
  <si>
    <t>DWA</t>
  </si>
  <si>
    <t>Peter Mphoko; mphoko@dwa.gov.za</t>
  </si>
  <si>
    <t>October</t>
  </si>
  <si>
    <t>September following year</t>
  </si>
  <si>
    <t>Sub-catchment</t>
  </si>
  <si>
    <t>5 yearly</t>
  </si>
  <si>
    <t>Total, ratio to national average, short term &amp; long term trends</t>
  </si>
  <si>
    <t>Total amount of water used per capita</t>
  </si>
  <si>
    <t>Paul Herbst; herbstp@dwa.gov.za, 012 336 7043</t>
  </si>
  <si>
    <t>annually</t>
  </si>
  <si>
    <t>The amount of water lost to use or no income derived from</t>
  </si>
  <si>
    <t>Cities and WRC</t>
  </si>
  <si>
    <t>Paul Herbst; herbstp@dwa.gov.za, 012 336 7044</t>
  </si>
  <si>
    <t>Risk score - state of potable water - water quality (Green &amp; Blue drop)</t>
  </si>
  <si>
    <t>Zanele Mupariua, mupariuaz@dwa.gov.za, 012 336-6871</t>
  </si>
  <si>
    <t>June/July following year</t>
  </si>
  <si>
    <t>city and individual WTW</t>
  </si>
  <si>
    <t>State of freshwater resources (quantity, quality and value)</t>
  </si>
  <si>
    <t>DWA (River health programme), SANBI and cities</t>
  </si>
  <si>
    <t xml:space="preserve">Naomi Fourie, qiy@dwa.gov.za, 012  336-8094 </t>
  </si>
  <si>
    <t>City and watercourse</t>
  </si>
  <si>
    <t>variable</t>
  </si>
  <si>
    <t>Volume of water available in reservoirs (m³) per person</t>
  </si>
  <si>
    <t>Water Affairs</t>
  </si>
  <si>
    <t>Total energy supplied/purchased by service provider by fuel type</t>
  </si>
  <si>
    <t>Energy</t>
  </si>
  <si>
    <t>Total energy generated by Metro by fuel type</t>
  </si>
  <si>
    <t>National Energy Regulator for South Africa (NERSA), StatSA</t>
  </si>
  <si>
    <t>Total electricity sales (GWh/year)</t>
  </si>
  <si>
    <t>National Energy Regulator for South Africa (NERSA)/ Dept of Energy</t>
  </si>
  <si>
    <t>Veli Mahlangu, veli.mahlangu@nersa.org,za, 0124014665</t>
  </si>
  <si>
    <t>Total investment in green energy projects</t>
  </si>
  <si>
    <t>Veli Mahlangu, veli.mahlangu@nersa.org,za, 0124014666</t>
  </si>
  <si>
    <t>Veli Mahlangu, veli.mahlangu@nersa.org,za, 0124014667</t>
  </si>
  <si>
    <t>Total households that use alternative energy sources</t>
  </si>
  <si>
    <t>Veli Mahlangu, veli.mahlangu@nersa.org,za, 0124014668</t>
  </si>
  <si>
    <t>The amount of energy lost to use or no income derived from</t>
  </si>
  <si>
    <t>Veli Mahlangu, veli.mahlangu@nersa.org,za, 0124014669</t>
  </si>
  <si>
    <t>Total volume of greenhouse gases (CO2, CH4, N2O, SF6, HFCs and PFCs) released into the atmosphere over a specified area and period of time.</t>
  </si>
  <si>
    <t>Climate change</t>
  </si>
  <si>
    <t>Per station and city</t>
  </si>
  <si>
    <t>Average annual temperature change</t>
  </si>
  <si>
    <t>SA Weather service</t>
  </si>
  <si>
    <t>Elsa de Jager, Elsa.DeJager@weathersa.co.za, (012) 367 6022</t>
  </si>
  <si>
    <t>Daily</t>
  </si>
  <si>
    <t>Average annual rainfall change</t>
  </si>
  <si>
    <t>Elsa de Jager, Elsa.DeJager@weathersa.co.za, (012) 367 6023</t>
  </si>
  <si>
    <t>Volumes of waste generated by type (household, industrial, commercial, hazardous, medical, radioactive)</t>
  </si>
  <si>
    <t>Waste management</t>
  </si>
  <si>
    <t>Metros/DEA</t>
  </si>
  <si>
    <t>Mr. Donald Sehasaana;</t>
  </si>
  <si>
    <t>Yearly</t>
  </si>
  <si>
    <t>Total, ratio to total &amp; national average, short term &amp; long term trends, type</t>
  </si>
  <si>
    <t>Volume of waste disposal by method (eg compacting, landfill, incineration)</t>
  </si>
  <si>
    <t xml:space="preserve">Total available airspace in years </t>
  </si>
  <si>
    <t>Per landfill</t>
  </si>
  <si>
    <t>Number of existing and proposed licensed sites</t>
  </si>
  <si>
    <t xml:space="preserve">Number of waste receptacles </t>
  </si>
  <si>
    <t>Waste diverted for recycling</t>
  </si>
  <si>
    <t xml:space="preserve">Number of recycling schemes </t>
  </si>
  <si>
    <t>Number of waste to energy projects by type of output</t>
  </si>
  <si>
    <t>Ambient concentrations of air pollutants by type and source</t>
  </si>
  <si>
    <t>Air quality</t>
  </si>
  <si>
    <t>DEA/Weather SA</t>
  </si>
  <si>
    <t>Thabo Setshedi, Tsetshedi@environment.gov.za, (012) 310 3792; Xolile Ncipha (Weather SA), Xolile.Ncipha@weathersa.co.za, (012) 367 6057</t>
  </si>
  <si>
    <t>Percentage of households using coal and wood fuel for heating and cooking</t>
  </si>
  <si>
    <t>Ambient concentrations of air pollutants by vehicle type</t>
  </si>
  <si>
    <t>Number of deaths from lower respiratory disease</t>
  </si>
  <si>
    <t>Environmental health</t>
  </si>
  <si>
    <t>Stats SA</t>
  </si>
  <si>
    <t>Maletela Tuoane-Nkhasi, MaletelaT@statssa.gov.za,012 310 8317</t>
  </si>
  <si>
    <t>July-September</t>
  </si>
  <si>
    <t>Number of deaths from tuberculosis</t>
  </si>
  <si>
    <t>Maletela Tuoane-Nkhasi, MaletelaT@statssa.gov.za,012 310 8318</t>
  </si>
  <si>
    <t>Number of deaths from HIV/AIDS</t>
  </si>
  <si>
    <t>Maletela Tuoane-Nkhasi, MaletelaT@statssa.gov.za,012 310 8319</t>
  </si>
  <si>
    <t>Percentage change in land cover types</t>
  </si>
  <si>
    <t>Biodiversity/ open space</t>
  </si>
  <si>
    <t>SANBI</t>
  </si>
  <si>
    <t>Selwyn Willoughby, s.willoughby@sanbi.org.za, 021 799 8858</t>
  </si>
  <si>
    <t>50m sq DEM</t>
  </si>
  <si>
    <t>Percentage change in coastal land cover types</t>
  </si>
  <si>
    <t>Proportion of Metro set aside for open space / natural areas</t>
  </si>
  <si>
    <t>Households with inadequate access to food</t>
  </si>
  <si>
    <t>Human Well-being</t>
  </si>
  <si>
    <t>General Household Survey</t>
  </si>
  <si>
    <t>Household expiriencing hunger</t>
  </si>
  <si>
    <t>Number of vacancies at senior management level</t>
  </si>
  <si>
    <t>Well governed cities</t>
  </si>
  <si>
    <t>Human Capacity development</t>
  </si>
  <si>
    <t>Number of staff posts by type</t>
  </si>
  <si>
    <t>from sustainable cities</t>
  </si>
  <si>
    <t>Value of performance management practices implemented in the municipality</t>
  </si>
  <si>
    <t>State of the municipal capacity</t>
  </si>
  <si>
    <t>Number of vacant posts</t>
  </si>
  <si>
    <t>Rate at which vacant posts are filled by level</t>
  </si>
  <si>
    <t>Total number of reported electricity interruptions</t>
  </si>
  <si>
    <t>move to governence (indicator of government responsiveness)</t>
  </si>
  <si>
    <t>Service delivery</t>
  </si>
  <si>
    <t>Average length of time of electricity interruptions</t>
  </si>
  <si>
    <t>secondary</t>
  </si>
  <si>
    <t>Total number of reported water interruptions</t>
  </si>
  <si>
    <t>Average length of time of water interruptions</t>
  </si>
  <si>
    <t>Number of voters registered to vote in the local and national elections</t>
  </si>
  <si>
    <t>from inclusive cities</t>
  </si>
  <si>
    <t>Citizen engagement and participation</t>
  </si>
  <si>
    <t>Independent Electoral Commission (IEC)</t>
  </si>
  <si>
    <t>Bryan Heuvel, 012 62 5415</t>
  </si>
  <si>
    <t>Election year</t>
  </si>
  <si>
    <t>Voting registration by voting district</t>
  </si>
  <si>
    <t xml:space="preserve">Number of registered voters voted in the local and national elections. Voter participation is the best existing means of measuring civic and political engagement for several reasons (high quality data, broad cross-country comparability) (OECD). </t>
  </si>
  <si>
    <t>Steward Murphy, 012 622 5936</t>
  </si>
  <si>
    <t>Voting turnout by voting district</t>
  </si>
  <si>
    <t>Transparency in communication and open access to regulations promotes government accountability, a business-friendly environment and public trust in government institutions.  indicator describes the extent to which formal consultation processes are built-in to the regulatory law-making process.  The indicator is based on a composite index comprised of various information on the openness and transparency of the consultation process.  It refers to the existence of institutional practices but does not, however, gauge whether these procedures are in fact effective.</t>
  </si>
  <si>
    <t>loads of international indicators on citizen engagement but dependant on surveys</t>
  </si>
  <si>
    <t>Extent to which Batho Pele principles are being implemented</t>
  </si>
  <si>
    <t>Need to follow up with KMRG</t>
  </si>
  <si>
    <t>Percentage people satisfied or very satisfied with municipal performance</t>
  </si>
  <si>
    <t>Contact HSRC to ascertain correct indicator</t>
  </si>
  <si>
    <t>Free basic services include electricity, water, sanitation and refuse removal (see indicators below)</t>
  </si>
  <si>
    <t>Infrastructure, service delivery, management and maintenance</t>
  </si>
  <si>
    <t>Number of households who have access to water by type (ie none, RDP, piped, backlog)</t>
  </si>
  <si>
    <t>June (following year); May (following year)</t>
  </si>
  <si>
    <t>Bar chart maps showing access to by suburb</t>
  </si>
  <si>
    <t>Percentage households who have access to sanitation by type (ie none, mainline, backlog)</t>
  </si>
  <si>
    <t>Number of community halls</t>
  </si>
  <si>
    <t>Location of community halls</t>
  </si>
  <si>
    <t>Number of libraries</t>
  </si>
  <si>
    <t>Location of libraries</t>
  </si>
  <si>
    <t>Number of fire stations</t>
  </si>
  <si>
    <t>Location of fire stations</t>
  </si>
  <si>
    <t>Number of people employed in fire protection services</t>
  </si>
  <si>
    <t>Number of police personnel employed by the SAPS</t>
  </si>
  <si>
    <t>SAPS</t>
  </si>
  <si>
    <t>Number of police personnel employed by the Metro</t>
  </si>
  <si>
    <t>Amount of expenditure on fire protection servcices</t>
  </si>
  <si>
    <t>Total number of primary and secondary schools</t>
  </si>
  <si>
    <t>Dept of Basic Education - Annual Schools Survey</t>
  </si>
  <si>
    <t>Location of primary and secondary schools</t>
  </si>
  <si>
    <t>Number of Primary Health Care clinics operated by provincial government</t>
  </si>
  <si>
    <t>Naomi Massyn, Naomi.Massyn@hst.org.za, o83 4192801</t>
  </si>
  <si>
    <t>Location of provincial Primary Health Care clinics</t>
  </si>
  <si>
    <t>Number of clinics operated by provincial government</t>
  </si>
  <si>
    <t>Location of provincial clinics</t>
  </si>
  <si>
    <t>Amount of expenditure onhealth and ambulance services by the province</t>
  </si>
  <si>
    <t>Dept of Health, Health Systems Trust</t>
  </si>
  <si>
    <t>Amount of expenditure onhealth and ambulance services by the Metro</t>
  </si>
  <si>
    <t>Number of health workers employed by the Metro</t>
  </si>
  <si>
    <t>Board of Healthcare Funders (BHF)</t>
  </si>
  <si>
    <t>Naomi Massyn, Naomi.Massyn@hst.org.za, o83 4192800</t>
  </si>
  <si>
    <t>Location of provincial ARV clinics</t>
  </si>
  <si>
    <t>Number of clinics  operated by Metro</t>
  </si>
  <si>
    <t>Location of Metro clinics</t>
  </si>
  <si>
    <t>Number of Primary Health Care clinics  operated by Metro</t>
  </si>
  <si>
    <t>Location of Metro Primary Health Care clinics</t>
  </si>
  <si>
    <t>Total number of employees in solid waste management (fulltime, parttime, vacant)</t>
  </si>
  <si>
    <t>Expenditure on construction of sewerage and sanitation facilities</t>
  </si>
  <si>
    <t>Expenditure on repairs and maintenance of refuse removal, sewerage and sanitation facilities</t>
  </si>
  <si>
    <t>Status of IWMP report</t>
  </si>
  <si>
    <t>Metros/ DEA</t>
  </si>
  <si>
    <t>Household access to wastewater treatment by type</t>
  </si>
  <si>
    <t>% spent of the allocated budgets for capital development and maintenance of infrastruture. As a measure of commitment to IDP and SDBIP goals</t>
  </si>
  <si>
    <t xml:space="preserve">Metro  </t>
  </si>
  <si>
    <t>Total in Rands by sector</t>
  </si>
  <si>
    <t>% of budget allocated to maintenance and operations, versus new capital development</t>
  </si>
  <si>
    <t xml:space="preserve">Status of audit findings </t>
  </si>
  <si>
    <t>Audit and administration</t>
  </si>
  <si>
    <t>Auditor -General South Africa</t>
  </si>
  <si>
    <t>Status of internal audit</t>
  </si>
  <si>
    <t>urban management</t>
  </si>
  <si>
    <t>Metros/Human Settlement</t>
  </si>
  <si>
    <t>Status of urbanisation</t>
  </si>
  <si>
    <t>Size of of land been given approval for development</t>
  </si>
  <si>
    <t>Amount of revenue by source</t>
  </si>
  <si>
    <t>Well Governed cities</t>
  </si>
  <si>
    <t>REVENUE</t>
  </si>
  <si>
    <t>Rand value of rates paid by residences and businesses</t>
  </si>
  <si>
    <t>Rand value of rates paid by residences and businesses for services</t>
  </si>
  <si>
    <t>Total value of grants to Metro</t>
  </si>
  <si>
    <t>Rand value paid as property rates</t>
  </si>
  <si>
    <t>Value of grants and transfers for capital expenditure</t>
  </si>
  <si>
    <t>Metro expenditure by type (eg public transport, residential housing, roads, etc)</t>
  </si>
  <si>
    <t>EXPENDITURE</t>
  </si>
  <si>
    <t>Totals, ratio to total, income &amp; national average, per capita, short term &amp; long term trends, by sector</t>
  </si>
  <si>
    <t>Funding for capital projects by source</t>
  </si>
  <si>
    <t>Budget income and budget expenditure</t>
  </si>
  <si>
    <t>SURPLUS</t>
  </si>
  <si>
    <t>Amount of bad debt recovered</t>
  </si>
  <si>
    <t>FINANCIAL MANAGEMENT</t>
  </si>
  <si>
    <t>Money owed to metro by income source</t>
  </si>
  <si>
    <t>Amount of owed to Metros by the creditors that cannot be collected (ie loss) and all reasonable efforts to collect it have been exhausted.</t>
  </si>
  <si>
    <t>Total, growth rate</t>
  </si>
  <si>
    <t>Total cost of staff salaries</t>
  </si>
  <si>
    <t>Percentage of operating costs</t>
  </si>
  <si>
    <t>Funds borrowed to fund capital expenditure</t>
  </si>
  <si>
    <t>Total in Rands</t>
  </si>
  <si>
    <t xml:space="preserve">Cash available </t>
  </si>
  <si>
    <t>Total, number of months of available cash to cover expenditure</t>
  </si>
  <si>
    <t xml:space="preserve">Current  assets minus inventory divided by the current liabilities </t>
  </si>
  <si>
    <t>Total liabilities of municipalities compared with their total revenue.</t>
  </si>
  <si>
    <t>Current assets provide cover to meet current liabilities</t>
  </si>
  <si>
    <t>Proportion of debt municipalities have relative 
to their assets and provides and indication as to how much municipalities 
rely on debt to finance their assets</t>
  </si>
  <si>
    <t>Value of shortfall between budget and income</t>
  </si>
  <si>
    <t>October (each year)</t>
  </si>
  <si>
    <t>November (each year)</t>
  </si>
  <si>
    <t>Value of wasteful expenditure</t>
  </si>
  <si>
    <t>TOTAL</t>
  </si>
  <si>
    <t>TOTAL INDICATORS</t>
  </si>
  <si>
    <t>103 INDICATORS</t>
  </si>
  <si>
    <t>Number of indicators</t>
  </si>
  <si>
    <t>Completed</t>
  </si>
  <si>
    <t>Is the data available for this indicator?</t>
  </si>
  <si>
    <t>Available</t>
  </si>
  <si>
    <t>Not available</t>
  </si>
  <si>
    <t>Does not exist</t>
  </si>
  <si>
    <t>INDICATOR SUMMARY</t>
  </si>
  <si>
    <t>SUMMARY OF EACH SECTION</t>
  </si>
  <si>
    <t>Not obtained</t>
  </si>
  <si>
    <t>To be bought</t>
  </si>
  <si>
    <t>Not structured</t>
  </si>
  <si>
    <t>Is the data available for the indicators?</t>
  </si>
  <si>
    <t>Part of 103?</t>
  </si>
  <si>
    <t>a</t>
  </si>
  <si>
    <t>Obtained</t>
  </si>
  <si>
    <t>Energy consumption (GJ)</t>
  </si>
  <si>
    <t>Waste recycling (tonnes)</t>
  </si>
  <si>
    <t xml:space="preserve">eThekwini Munincipality </t>
  </si>
  <si>
    <t>Msunduzi</t>
  </si>
  <si>
    <t xml:space="preserve">Msunduzi Municipality </t>
  </si>
  <si>
    <t>Msunduzi Municipality</t>
  </si>
  <si>
    <t xml:space="preserve">Gini Coefficient </t>
  </si>
  <si>
    <t>Community And Social Services</t>
  </si>
  <si>
    <t xml:space="preserve">Finance And Administration </t>
  </si>
  <si>
    <t>Electricity</t>
  </si>
  <si>
    <t>Environmental Protection</t>
  </si>
  <si>
    <t>Health</t>
  </si>
  <si>
    <t>Public Safety</t>
  </si>
  <si>
    <t>Road Transport</t>
  </si>
  <si>
    <t>Sport and Recreation</t>
  </si>
  <si>
    <t>Waste Management</t>
  </si>
  <si>
    <t>Waste Water Management</t>
  </si>
  <si>
    <t>Other</t>
  </si>
  <si>
    <t>Voter turnout - Local (2011)</t>
  </si>
  <si>
    <t>Voter Turnout - National (2014)</t>
  </si>
  <si>
    <t>51,9</t>
  </si>
  <si>
    <t>51,5</t>
  </si>
  <si>
    <t>46,2</t>
  </si>
  <si>
    <t xml:space="preserve">Petrol </t>
  </si>
  <si>
    <t xml:space="preserve">Deisel </t>
  </si>
  <si>
    <t xml:space="preserve">Coal </t>
  </si>
  <si>
    <t>Paraffin</t>
  </si>
  <si>
    <t>Jet Fuel and AvGas</t>
  </si>
  <si>
    <t>Residential</t>
  </si>
  <si>
    <t>Industrial</t>
  </si>
  <si>
    <t>Transport</t>
  </si>
  <si>
    <t>Government</t>
  </si>
  <si>
    <t>Agriculture</t>
  </si>
  <si>
    <t>n.a</t>
  </si>
  <si>
    <t>Liquid Petrolium Gas (LPG)</t>
  </si>
  <si>
    <t>Heavy Furnace Oil (HFO)</t>
  </si>
  <si>
    <t>Total renewable energy generated by municpality **(KWh/year)</t>
  </si>
  <si>
    <t xml:space="preserve">Removed weekly by authority </t>
  </si>
  <si>
    <t xml:space="preserve">Removed less often than weekly by authority </t>
  </si>
  <si>
    <t>Removed by community members</t>
  </si>
  <si>
    <t>Personally removed (own dump)</t>
  </si>
  <si>
    <t xml:space="preserve">No refuse removal </t>
  </si>
  <si>
    <t>Flush toilet</t>
  </si>
  <si>
    <t>Ventilation Improved Pits (VIP's)</t>
  </si>
  <si>
    <t>Pit toilet s</t>
  </si>
  <si>
    <t xml:space="preserve">Bucket Systems </t>
  </si>
  <si>
    <t>No toilet</t>
  </si>
  <si>
    <t>Electricity for lighting only</t>
  </si>
  <si>
    <t>Electricity for lighting and other purposes</t>
  </si>
  <si>
    <t>Not using electricity</t>
  </si>
  <si>
    <t xml:space="preserve">Eastern Cape </t>
  </si>
  <si>
    <t xml:space="preserve">Gauteng Province </t>
  </si>
  <si>
    <t>KwaZulu-Natal</t>
  </si>
  <si>
    <t>Limpopo Province</t>
  </si>
  <si>
    <t>Mpumalanga Province</t>
  </si>
  <si>
    <t xml:space="preserve">Northern Cape </t>
  </si>
  <si>
    <t xml:space="preserve">North West </t>
  </si>
  <si>
    <t xml:space="preserve">Western Cape </t>
  </si>
  <si>
    <t>2001-2006</t>
  </si>
  <si>
    <t>2006-2011</t>
  </si>
  <si>
    <t>2011-2016</t>
  </si>
  <si>
    <t xml:space="preserve">Female </t>
  </si>
  <si>
    <t>Male</t>
  </si>
  <si>
    <t>60.8.</t>
  </si>
  <si>
    <t>6-.6</t>
  </si>
  <si>
    <t>Commercial, Global Insight</t>
  </si>
  <si>
    <t>Piped water inside dwelling</t>
  </si>
  <si>
    <t>Piped water in yard</t>
  </si>
  <si>
    <t>Communal piped water: less than 200m from dwelling (At RDP-level)</t>
  </si>
  <si>
    <t>Communal piped water: more than 200m from dwelling (Below RDP)</t>
  </si>
  <si>
    <t>No formal piped water</t>
  </si>
  <si>
    <t>STATSSA has data available for this. This data might have to be purchased. City of Joburg has its own projections to 2021. This information should be shared so that there can be a standardised approach to population projections</t>
  </si>
  <si>
    <t xml:space="preserve">Labour force Survery </t>
  </si>
  <si>
    <t xml:space="preserve">Number of people living below the national poverty line. </t>
  </si>
  <si>
    <t>IHS Global Insight: Development. Regional eXplorer 759 (2.5q). Poverty indicators. People below the lower poverty line (StatsSA defined).</t>
  </si>
  <si>
    <t>IHS Global Insight: Development. Regional eXplorer 759 (2.5q). Gini coefficient</t>
  </si>
  <si>
    <t>HIS Global Insight: International Trade. Regional eXplorer 759 (2.5q). Exports (R 1000)</t>
  </si>
  <si>
    <t>HIS Global Insight: International Trade. Regional eXplorer 759 (2.5q). Imports (R 1000)</t>
  </si>
  <si>
    <t xml:space="preserve">Censuses/Community Survey/General Household Surveys.  </t>
  </si>
  <si>
    <t xml:space="preserve">Censuses/Community Survey/General Household Surveys. Formula to calculate (employment absorption rate )EAR= Employed / working age population.  Working age population = 15-65 years. </t>
  </si>
  <si>
    <t>(2) Affordability Index 2012</t>
  </si>
  <si>
    <t>(1) Affordability Ratio 2012</t>
  </si>
  <si>
    <r>
      <t xml:space="preserve">(1)Understanding Housing Markets in South Africa- Prepared by Centre for Affordable Housing Finance in South Africa (CAHF) and South African Cities Network (SACN).  Available [online]: http://sacitiesnetwork.co.za/wp-content/uploads/2014/08/File-1-Overview.pdf Accessed [11-05-2015]. </t>
    </r>
    <r>
      <rPr>
        <i/>
        <sz val="9"/>
        <color theme="1"/>
        <rFont val="Calibri"/>
        <family val="2"/>
        <scheme val="minor"/>
      </rPr>
      <t xml:space="preserve"> </t>
    </r>
    <r>
      <rPr>
        <sz val="9"/>
        <color theme="1"/>
        <rFont val="Calibri"/>
        <family val="2"/>
        <scheme val="minor"/>
      </rPr>
      <t>(2) Affordable Land and Housing Data Centre (al+hdc) and SACN: available [online]: http://www.alhdc.org.za/downloads/SACN%20NMB%20PPT%20profile%20Final%20draft.pdf accessed [11-05-2015]</t>
    </r>
  </si>
  <si>
    <t>IHS Global Insight: Development. Regional eXplorer 759 (2.5q). HDI</t>
  </si>
  <si>
    <t>Isabel Schmidt, isabelsc@statssa.gov.za.</t>
  </si>
  <si>
    <t>The South African Index of Multiple Deprivation 2007 at Municipality Level. Available [online]: http://www.casasp.ox.ac.uk/imd.html#SAIMD07_mun accessed [11-05-2015].</t>
  </si>
  <si>
    <t>not assessed</t>
  </si>
  <si>
    <t xml:space="preserve">Department of Water Affairs (DWA) available [online]: https://www.dwa.gov.za/ accessed [11-05-2015]. </t>
  </si>
  <si>
    <t>2010/ 2011</t>
  </si>
  <si>
    <t xml:space="preserve">State of Energy in South African Cities- 2015. Sustainable Energy Africa (SEA). Available [online] http://www.sustainable.org.za/uploads/files/file80.pdf Accessed [11-05-2015] </t>
  </si>
  <si>
    <t>IHS Global Insight- Regional eXplorer 759 (2.5q): Household Infrastructure-Water infrastructure. Number of households by level of access to Water</t>
  </si>
  <si>
    <t>IHS Global Insight- Regional eXplorer 759 (2.5q): Household Infrastructure- Sanitation. Number of households by type of Toilet</t>
  </si>
  <si>
    <t>IHS Global Insight- Regional eXplorer 759 (2.5q): Household Infrastructure-Electricity connections. Number of households by electricity usage</t>
  </si>
  <si>
    <t>IHS Global Insight- Regional eXplorer 759 (2.5q): Household Infrastructure- Refuse Removal. Number of households by access to refuse removal</t>
  </si>
  <si>
    <t>Percentage households who have access to electricity. ** Number of Households</t>
  </si>
  <si>
    <t>Percentage households who have access to refuse removal by type (ie none, weekly, less often) ** Number of Households</t>
  </si>
  <si>
    <t>(1) Ethekwini- State of Biodiversity Reporting. Available [online] http://www.durban.gov.za/City_Services/development_planning_management/environmental_planning_climate_protection/Projects/Pages/State-of-Biodiversity-Reporting.aspx Accessed  [12-05-2015].</t>
  </si>
  <si>
    <t>2008-2009</t>
  </si>
  <si>
    <t>2009-2010</t>
  </si>
  <si>
    <t>2010-2011</t>
  </si>
  <si>
    <t>2011-2012</t>
  </si>
  <si>
    <t>2012-2013</t>
  </si>
  <si>
    <t xml:space="preserve">ha </t>
  </si>
  <si>
    <t>%</t>
  </si>
  <si>
    <t>Energy intensity (GJ/ZAR)</t>
  </si>
  <si>
    <t>Veli Mahlangu, veli.mahlangu@nersa.org,za, 0124014664. Megan Euston-Brown &lt;Megan@sustainable.org.za&gt;</t>
  </si>
  <si>
    <t xml:space="preserve">Nozipo Shabalala. Marietjie Bennett: E: marietjieb@statssa.gov.za, C: 082 888 2194. </t>
  </si>
  <si>
    <t xml:space="preserve">The amount of money needed to sustain a certain level of living, including basic expenses such as housing, food, taxes, and healthcare. **NB Consumer Price Index used- from Stats SA. </t>
  </si>
  <si>
    <t>Income &amp; Expenditure Survey, Statistics South Africa- Consumer Price Index: Index numbers and year-on-year rates. - CPI according to area</t>
  </si>
  <si>
    <t xml:space="preserve">n/a </t>
  </si>
  <si>
    <t xml:space="preserve">Jongikaya Witi, jwiti@environment.gov.za, 012 310 3083. </t>
  </si>
  <si>
    <t xml:space="preserve">Energy consumption per unit of output by sector (eg manufacture, transport, service, residential, agriculture) </t>
  </si>
  <si>
    <t xml:space="preserve">State of Energy in South African Cities- 2015. Sustainable Energy Africa (SEA). Available [online] http://www.sustainable.org.za/uploads/files/file80.pdf Accessed [11-05-2015] **NB the unit of measure is (GJ /annum) </t>
  </si>
  <si>
    <t>Wood</t>
  </si>
  <si>
    <t>Coal</t>
  </si>
  <si>
    <t xml:space="preserve">Heating </t>
  </si>
  <si>
    <t xml:space="preserve">Cooking </t>
  </si>
  <si>
    <t>State of Energy in South African Cities</t>
  </si>
  <si>
    <t>1996-2001</t>
  </si>
  <si>
    <t>2001-2007</t>
  </si>
  <si>
    <t>2007-2011</t>
  </si>
  <si>
    <t xml:space="preserve">Provincial </t>
  </si>
  <si>
    <t>Provincial</t>
  </si>
  <si>
    <t xml:space="preserve">Statistics South Africa- Med-year population estimates 2014. Available [online] http://www.statssa.gov.za/publications/P0302/P03022014.pdf </t>
  </si>
  <si>
    <t xml:space="preserve">People who lacking the necessities of life to survive  including sufficient water, basic sanitation, refuse removal in denser settlements, environmental health, basic energy, health care, housing, food and clothing. It is importanat to note that  StatsSA does its own verfivation in terms of the non-financial census. Info available from local municipalities- this is fragmented, as best as is available at a person. </t>
  </si>
  <si>
    <t>The GVA is represented as Gross Value Added by Region (GVA-R), readily available and sourced from IHS Global Insight, Regional Explorer.</t>
  </si>
  <si>
    <t xml:space="preserve">The life expectancy data is captured at a provincial level and is the "provincial average life expectancy at birth, 2001-2006, 2006-2011 and 2011-2016" for male and female (separately). This information was readily available and sourced from Statistics South Africa- Med-year population estimates 2014. </t>
  </si>
  <si>
    <t>Metro refers to the area officially designated by the Municpal Demarkcation Board (MDB). It is important to note that Metros and municipalities boundaries have altered over the years which inevitably alters the population size in addition to other factors. Information is readily available and sourced from Censuses/Community survey/Stats SA Mid-year estimates.</t>
  </si>
  <si>
    <t xml:space="preserve">A household consists of a person, or a group of persons, who occupy a common dwelling (or part of it) for at least four days a week and who provide themselves jointly with food and other essentials for living. This data was readily available and sourced from StatsSA- Non-financial census/ General Household Survey. </t>
  </si>
  <si>
    <t>Consider sectoral split: might be useful to compare cities. There is no information collected for this indicator. Contact has been made with StatsSA representative to gather this data however no data has been received (unsure about the availability of this data)</t>
  </si>
  <si>
    <t xml:space="preserve">According to Marietjie Bennett (StatsSA): The CPI are used as an indicator of change in cost of living. Due to changes in the classification during 2008/2009, there are a break in series and are not comparable. Although if you are only interested in the percentage changes those can be use over a longer period. This information was provided by Marietjie form StatsSA upon request. </t>
  </si>
  <si>
    <t>General Household Surveys.</t>
  </si>
  <si>
    <t xml:space="preserve">No information is availble </t>
  </si>
  <si>
    <t xml:space="preserve">Productivity growth, measured as the rate of growth of GDP per person employed, is one of the four agreed indicators countries are encouraged to use to measure their progress towards meeting this target. The other three indicators are: the ratio of employment to population; the share of “vulnerable employment” (defined as the proportion of own-account and contributing family workers in total employment); 5 and the proportion of the working poor (proportion of employed people living below US$1 a day, measured in PPP). No data is collected or captured. </t>
  </si>
  <si>
    <t xml:space="preserve">Gini coefficient for the represented metros and municiaplities are often inconsistent, irregular and sometimes vary in the different reports produced the respective metros.  The data represented here was available and sourced and accessed from IHS Global Insight, Regional Explorer. It is important to note that this data may vary from data provided by metros/municipalities in their reports. </t>
  </si>
  <si>
    <t xml:space="preserve">The data represented for the poverty rate is the number of people living below the lower poverty line as defined by StatsSA. Information also available on the number of people living below the food poverty line and number of people living below the upper poverty line (StatsSA defined) but not represented. These data was available and sourced from IHS Global Insight, Regional Explorer. </t>
  </si>
  <si>
    <t>Economically active population defined as "total population employed and seeking employment within the 15-66 year age group" sourced and accessed from Censuses/Community Survey/General Household Surveys</t>
  </si>
  <si>
    <t xml:space="preserve">The HDI figures for the represented metros and municiaplities  sometimes vary in the different reports produced the respective metros and across different years.  This data was available and sourced from IHS Global Insight, Regional Explorer. It is important to note that this data may vary from data provided by metros/municipalities in their reports. </t>
  </si>
  <si>
    <t>The Blue Drop- Risk Score was readily available and sourced from the DWA website- Blue Drop Reports (available yearly and provincially)</t>
  </si>
  <si>
    <t xml:space="preserve">The Gree Drop- Risk Score was readily available and sourced from the DWA website- Green Drop Reports (available yearly and provincially. The data </t>
  </si>
  <si>
    <t xml:space="preserve">According to Megan Euston-Brown (project leader for State of Energy Report in South African Cities):  The data energy totals refer to total energy consumed (but I think also including electricity losses within the distribution networks). So in a sense it refers to both – energy supplied is all consumed, bar distribution losses. This data is readily available and sourced from the State of Energy Report in South African Cities (2006, 2011 &amp; 2015). </t>
  </si>
  <si>
    <t xml:space="preserve">No data collected for this indicator </t>
  </si>
  <si>
    <t xml:space="preserve">Need to clarify defintion and link this to what is available on the State of the Energy Reports- there are also some inconsistencies within this report. Some instances data is represented graphically which creates difficulty in extrapulating the data necessary. </t>
  </si>
  <si>
    <t xml:space="preserve">This data is readily available and sourced from the State of Energy Report in South African Cities (2006, 2011 &amp; 2015). Some inconsitencies exist in terms of years in which the data is collected and the metros/municipalities the data is collected for. </t>
  </si>
  <si>
    <t xml:space="preserve">The data shown in the sectors are available and extracted from the State of Energy Report in South African cities.  NB the data represents the energy consumption in GJ per annum by sector eg. Residential, commercial, industrial, transportation, government and agriculture. </t>
  </si>
  <si>
    <t>No data is collected or captured for this indicator</t>
  </si>
  <si>
    <t xml:space="preserve">Data collected and captured for renewable energy is represented in KWh/year. The data shown in the sectors are available and extracted from the State of Energy Report in South African cities. However information is not available for all the years and metros/municipalities- many gaps in data availability </t>
  </si>
  <si>
    <t xml:space="preserve">Although the definition for this indicator asks for total volume GHG inclusing (CO2, CH4, N2O, SF6, HFCs and PFCs). This data only represents  GHG per capita (tonnes CO2e)- available and extracted from the State of Energy Reports for SA. </t>
  </si>
  <si>
    <t xml:space="preserve">Need to get clarity on what are considered alternative energy sources or types. Thereafter the data ia available and can be extarcted from the State of Energy Reports. </t>
  </si>
  <si>
    <t xml:space="preserve">Energy losses (2011) data was available and extarcted from the 2015 State of Energy Report. However there is inconsistencies across the reports in terms of ways in which data is represented (sometimes in graphs, others in numbers or percentages). The 2006 Sate of Energy Report has Energy Loss data is represented by % Share of electricity losses from distribution - technical and Non-technical losses as share of total electricity distributed. </t>
  </si>
  <si>
    <t>SA Waste Information Centre; http://sawic.environment.gov.za/?menu=60
No data collected or captured</t>
  </si>
  <si>
    <t>nSA Waste Information Centre; http://sawic.environment.gov.za/?menu=59
No data captured.</t>
  </si>
  <si>
    <t xml:space="preserve">This data was available and extracted from the DEA- SAWIC Website.  Data was found under the Waste recycling and ruse section- tonnage reports. This was an interatcive data source. No data was found for the metros/municipalities and years that are blank. </t>
  </si>
  <si>
    <t xml:space="preserve">Partial data collection. Data captured is available and was exyracted from the State of Energy Report (2006). Data from the 2011 Report is in graph form- Yachika (Sustainable Energy Africa) has provided the numeric data corresponding with the graphs, however they are in number of households rather than in %- data also available on StatsSA according to contact person.  </t>
  </si>
  <si>
    <t xml:space="preserve">No data collected or captured </t>
  </si>
  <si>
    <t xml:space="preserve">No data collected or captured. </t>
  </si>
  <si>
    <t xml:space="preserve">Data was only readily available for eThekwini and was extracted from the Ethekwini- State of Biodiversity Reporting. A detailed look into similar reports by other metros/municipalities are required to extarct relevant data pertaining to this indicator or contact muncipalities. </t>
  </si>
  <si>
    <t>No data collected or captured</t>
  </si>
  <si>
    <t>Unfortunately the GHS will not enable an understanding of food insecurity at Metro level as household FI can only be understood within the context of a larger group, such as nationally or by province or population group</t>
  </si>
  <si>
    <t>Measure of safety of human settlements
No data collected</t>
  </si>
  <si>
    <t>`</t>
  </si>
  <si>
    <t xml:space="preserve">Data only collected for the year 2011 and is available and extracted from StatsSA </t>
  </si>
  <si>
    <t xml:space="preserve">Data available and extracted from The South African Index of Multiple Deprivation 2007 at Municipality Level. The The South African Index of Multiple Deprivation2001 at Municipality Level is available but does not provide a MDI for that year. </t>
  </si>
  <si>
    <t>Data  available and extracted from Census/General Household Survey</t>
  </si>
  <si>
    <t xml:space="preserve">Niel Roux (StatsSA) Comment: Please note that data for 2007 is based on the community survey and therefore not as accurate as the census data. Where data for 2007 varies from the established trend between 1996 and 2011 variation is due to the 2007 sample. The most recent census was done in 2011.  Data provided was the percentage of informal settlements in 1996, 2001, 2007, 2011. This data was used to calculate the % increase or decrease. </t>
  </si>
  <si>
    <r>
      <t xml:space="preserve">Data available and extracted: (1) </t>
    </r>
    <r>
      <rPr>
        <b/>
        <sz val="9"/>
        <color theme="1"/>
        <rFont val="Calibri"/>
        <family val="2"/>
        <scheme val="minor"/>
      </rPr>
      <t>Affordability Ratio</t>
    </r>
    <r>
      <rPr>
        <sz val="9"/>
        <color theme="1"/>
        <rFont val="Calibri"/>
        <family val="2"/>
        <scheme val="minor"/>
      </rPr>
      <t xml:space="preserve">: Understanding Housing Markets in South Africa- Prepared by Centre for Affordable Housing Finance in South Africa (CAHF) and South African Cities Network (SACN) and (2) </t>
    </r>
    <r>
      <rPr>
        <b/>
        <sz val="9"/>
        <color theme="1"/>
        <rFont val="Calibri"/>
        <family val="2"/>
        <scheme val="minor"/>
      </rPr>
      <t>Affordability Index</t>
    </r>
    <r>
      <rPr>
        <sz val="9"/>
        <color theme="1"/>
        <rFont val="Calibri"/>
        <family val="2"/>
        <scheme val="minor"/>
      </rPr>
      <t xml:space="preserve">: Affordable Land and Housing Data Centre (al+hdc) and SACN. This data was only captured for the year 2012. Uncertain as to the availability of data for other years. </t>
    </r>
  </si>
  <si>
    <t xml:space="preserve">Uncertainity with the many variables to consider (rental, ownership, informality). No data is collecteed or captured. </t>
  </si>
  <si>
    <t>No data is collecteed or captured</t>
  </si>
  <si>
    <t>Data available and extracted from Non-financial census</t>
  </si>
  <si>
    <t>Data available and extracted from StatsSA online</t>
  </si>
  <si>
    <t xml:space="preserve">Some Metros already monitor these principles - see - http://www.ekurhuleni.gov.za/the-organisation/batho-pele
No data collected or captured </t>
  </si>
  <si>
    <t xml:space="preserve">The Import data represented as Total Imports (R1000) is  available and sourced from HIS Global Insight: International Trade. Regional eXplorer 759 (2.5q). </t>
  </si>
  <si>
    <t xml:space="preserve">The Export data represented as Total Exports (R1000) is available and sourced from HIS Global Insight: International Trade. Regional eXplorer 759 (2.5q). </t>
  </si>
  <si>
    <t xml:space="preserve">The data represented here was available and extracted from IHS Global Insight, Regional Explorer- Household Infrastructure: Number of households by level of access to Water, Sanitation, Electricity, Refuse Collection. </t>
  </si>
  <si>
    <t>This data represents the number of households by level of access (instead of % of households as definition asks for)</t>
  </si>
  <si>
    <t>National Aquatic Ecosystem Health Programme (NAEHP). No data collected or captured</t>
  </si>
  <si>
    <t xml:space="preserve">Data collected and  captured </t>
  </si>
  <si>
    <t>x</t>
  </si>
  <si>
    <t>Department of Environmental Affairs- South African Waste Information Centre: Available [online]: http://sawic.environment.gov.za/?menu=15</t>
  </si>
  <si>
    <t xml:space="preserve">The Economic Absorption Rate (EAR) is calculated as the (proportion of the total working-age population) / (EAP that is employed). Firstly the proportion of the working age population was calculated by added the population age groups from 15-66 and then divided by the EAP.  The total working age population is = (employed + unemployed + discouraged work-seeker + noot economically active) population between the ages 15-66 </t>
  </si>
  <si>
    <t>information available at a provincial level rather than a metro/municipal level. Data captured from Statistics South Africa, Census data. Unable to locate data for 1996 and 2001</t>
  </si>
  <si>
    <t>Data collected at a household level. Acquired from StatsSA Supercross programme- Household Goods: Cell phones</t>
  </si>
  <si>
    <t xml:space="preserve">Censuses/Community Survey/General Household Surveys. </t>
  </si>
  <si>
    <t>Censuses/Community Survey/General Household Surveys.</t>
  </si>
  <si>
    <t>Data collected at a household level. Acquired from StatsSA Supercross programme- Household Goods: Access to internet. Access to the internet is a total of access from home, work, cell phane and elsewhere.</t>
  </si>
  <si>
    <t>Data extratced from the State of Non-Revenue Water in South Africa (2012. Water losses are split between Physical Leakage (Real Losses) and Commercial Losses (Apparent Losses). Measured in kl/annum.</t>
  </si>
  <si>
    <t>Data extratced from the State of Non-Revenue Water in South Africa (2012. Water availability is taken as System input volume as seen in thr report and measured in kl/annum.</t>
  </si>
  <si>
    <t>Data extratced from the State of Non-Revenue Water in South Africa (2012). Billed : Litres / capita / day</t>
  </si>
  <si>
    <t>nla</t>
  </si>
  <si>
    <t xml:space="preserve">Gillian to correct *see note </t>
  </si>
  <si>
    <t xml:space="preserve">The data captured for this indicator represents the ratio of the % of informal settlements to % of formal dwelling- Calculated as %informal dwellings/ %formal dwellings. Data was calculated from requested data from StatsSA- Niel Roux. </t>
  </si>
  <si>
    <t>Data collected at a household level. Acquired from StatsSA Supercross programme- Household Goods: Motor Car. Awaiting missing data sets from StatsSA (requested data- Seipati Kgonthe &lt;seipatikg@statssa.gov.za&gt;)</t>
  </si>
  <si>
    <t>Train</t>
  </si>
  <si>
    <t>Bus</t>
  </si>
  <si>
    <t>Taxi</t>
  </si>
  <si>
    <t>Car/ Truck company car driver</t>
  </si>
  <si>
    <t>Car/ Truck passenger</t>
  </si>
  <si>
    <t xml:space="preserve">Walk all the way </t>
  </si>
  <si>
    <t xml:space="preserve">Other </t>
  </si>
  <si>
    <t>KwaZulu- Natal</t>
  </si>
  <si>
    <t>Mpumalange</t>
  </si>
  <si>
    <t>National Household Travel Survey (NHTS). Available [online]: http://www.transport.gov.za/Portals/0/NHTS2/1.%20P0320%20-%20NHTS_February%20to%20March%202013%201-54.pdf accessed [12-05-2015] *NB information available on a provincial level only- pg 40</t>
  </si>
  <si>
    <t>National Household Travel Survey (NHTS). Available [online]: http://www.transport.gov.za/Portals/0/NHTS2/1.%20P0320%20-%20NHTS_February%20to%20March%202013%201-54.pdf accessed [12-05-2015] *NB information available on a provincial level  and for workers only- pg 41</t>
  </si>
  <si>
    <t>Female</t>
  </si>
  <si>
    <t>Dept of Basic Education - SNAP Survey/Annual Schools Survey. Available [online] http://www.education.gov.za/LinkClick.aspx?fileticket=3BJmBjG%2bB3U%3d&amp;tabid=462&amp;mid=1326</t>
  </si>
  <si>
    <t>Dept of Basic Education - SNAP Survey/Annual Schools Survey.  Available [online] http://www.education.gov.za/LinkClick.aspx?fileticket=3BJmBjG%2bB3U%3d&amp;tabid=462&amp;mid=1326</t>
  </si>
  <si>
    <t>Grade 8 to Grade 12 is also referred to as a secondary school. Data at a metro/city level is available but as a total number of of learners inclusive of both male and female combined</t>
  </si>
  <si>
    <t>Grade R to Grade 7 is also referred to as a primary school. Data at a metro/city level is available but as a total number of of learners inclusive of both male and female combined.</t>
  </si>
  <si>
    <t xml:space="preserve">Functional literacy: age 15+, completed grade 7 or higher. Data sourced from IHS Global Insight </t>
  </si>
  <si>
    <t xml:space="preserve">City of Johannesburg </t>
  </si>
  <si>
    <t xml:space="preserve">eThekwini Municipality </t>
  </si>
  <si>
    <t xml:space="preserve">Ekhuruleni Municipality </t>
  </si>
  <si>
    <t xml:space="preserve">Nelson Mandela Bay </t>
  </si>
  <si>
    <t xml:space="preserve">Buffalo City </t>
  </si>
  <si>
    <t>Mangaung</t>
  </si>
  <si>
    <t>Nelson Mandela Bay</t>
  </si>
  <si>
    <t xml:space="preserve">Total number of international immigrants / total poulation x 1000. An immigrant (as defined by StataSA) is a person who enters a country from another country with the intention of staying in that country.  SuperCross: International immigrants= region of birth (SADC+  Rest of Africa+ United Kingdom and Europe+ Asia+ North America+ Latin America and Caribbean+ Oceania+ Unspecified) </t>
  </si>
  <si>
    <t>The vulnerable population unemplyment refers to the women, youth, disabled proportion of unemployed.  Youth= total unemployed (15-34), Women= total unemployed (35-64) and disabled men (35-64) divided by the total unemployment. NB the diabled men (35-64) was the sum of Seeing, Hearing, Communication, Walking or climbing stairs, Remembering/ Concentration and Self-Care ranging from some difficulty - cannot do at all.  Data only available for 2011</t>
  </si>
  <si>
    <t>Data collected at a household level. Acquired from StatsSA Supercross programme- Household Goods: Landlines/Telepones. Metro/city level data only for 2011. Data for other years are at a provincial level</t>
  </si>
  <si>
    <t xml:space="preserve">Data captured for this indicator is inconsistent and in some years wrong. The correct data is available on the on the South African Health Review Reports at a metro/city level.  </t>
  </si>
  <si>
    <t>Data available and extracted from the South African Health Review 2012/13</t>
  </si>
  <si>
    <t>Education Statistics South Africa</t>
  </si>
  <si>
    <t>ratios were readily available at a provincial level. Data can e calculated at a metro/city level using the data provided Education Statistics South Africa</t>
  </si>
  <si>
    <t xml:space="preserve">Data taken from the National Household Travel Survey  (NHTS, 2013). </t>
  </si>
  <si>
    <t>Inpatient bed utilisation rate</t>
  </si>
  <si>
    <t>Bed utilisation rate (BUR) measures the occupancy of available beds and therefore indicates how efficiently a hospital is
using its available capacity. It is calculated as follows: the number of inpatient days is added to half the number of day
patients, and divided by the usable bed days; this is expressed as a percentage.</t>
  </si>
  <si>
    <t>Health Systems Trust</t>
  </si>
  <si>
    <t>completed primary</t>
  </si>
  <si>
    <t>some secondary</t>
  </si>
  <si>
    <t>higher education</t>
  </si>
  <si>
    <t>some primary</t>
  </si>
  <si>
    <t>GJ</t>
  </si>
  <si>
    <t>tCO2e</t>
  </si>
  <si>
    <t>Johannesburg</t>
  </si>
  <si>
    <t>2008/2009</t>
  </si>
  <si>
    <t>2013/2014</t>
  </si>
  <si>
    <t xml:space="preserve">Employee related costs </t>
  </si>
  <si>
    <t>Remuneration of councillors</t>
  </si>
  <si>
    <t xml:space="preserve">Repairs and maintenance </t>
  </si>
  <si>
    <t>Bulk purchase</t>
  </si>
  <si>
    <t>other operating expenditure</t>
  </si>
  <si>
    <t>Affordability of municipal bills - type A</t>
  </si>
  <si>
    <t>2014 municipal bill</t>
  </si>
  <si>
    <t>2014 benchmark income</t>
  </si>
  <si>
    <t xml:space="preserve">municipal bill as % of benchmark income </t>
  </si>
  <si>
    <t>change in affordability since 2010</t>
  </si>
  <si>
    <t>Type A - poor household in SoCF 2015</t>
  </si>
  <si>
    <t>Operating expenditure</t>
  </si>
  <si>
    <t>BUF: Buffalo City</t>
  </si>
  <si>
    <t>NMA: Nelson Mandela Bay</t>
  </si>
  <si>
    <t>JHB: City of Johannesburg</t>
  </si>
  <si>
    <t>TSH: City of Tshwane</t>
  </si>
  <si>
    <t>total</t>
  </si>
  <si>
    <t>other</t>
  </si>
  <si>
    <t>unspecified</t>
  </si>
  <si>
    <t>industrial</t>
  </si>
  <si>
    <t>losses</t>
  </si>
  <si>
    <t>Ekurhuleni</t>
  </si>
  <si>
    <t>Cape town</t>
  </si>
  <si>
    <t>Buffalo City</t>
  </si>
  <si>
    <t xml:space="preserve">Johannesburg </t>
  </si>
  <si>
    <t>Tshwane</t>
  </si>
  <si>
    <t>Ethekwini</t>
  </si>
  <si>
    <t>ekurhuleni</t>
  </si>
  <si>
    <t>Nelson mandela Bay</t>
  </si>
  <si>
    <t>Buffalo</t>
  </si>
  <si>
    <t>Ave annual growth</t>
  </si>
  <si>
    <t>Rep &amp; maint</t>
  </si>
  <si>
    <t>Nelson mandela bay</t>
  </si>
  <si>
    <t>84.35%</t>
  </si>
  <si>
    <t>Non-revenue water</t>
  </si>
  <si>
    <t xml:space="preserve">Non revenue water includes; unbilled authorised consumption, commercial water losses and physical leaks </t>
  </si>
  <si>
    <t>WRC - Water Research commission</t>
  </si>
  <si>
    <t>as when available</t>
  </si>
  <si>
    <t>www.wrc.org.za</t>
  </si>
  <si>
    <t>Local governement</t>
  </si>
  <si>
    <t>percentage</t>
  </si>
  <si>
    <t>extracted from WRC Report: State of Non-revenue water in South Africa,  2012, TT522/12</t>
  </si>
  <si>
    <t>kiloliters per annum (kl/annum)</t>
  </si>
  <si>
    <t>metro</t>
  </si>
  <si>
    <t>eThekwini Municipality</t>
  </si>
  <si>
    <t>State of energy in South African Cties 2015</t>
  </si>
  <si>
    <t xml:space="preserve">Energy use &amp; emission by sector </t>
  </si>
  <si>
    <t xml:space="preserve">no schooling </t>
  </si>
  <si>
    <t>grade 12/std 9</t>
  </si>
  <si>
    <t>ETH: eThekwini municipality</t>
  </si>
  <si>
    <t>EKU: Ekurhuleni municipality</t>
  </si>
  <si>
    <t>MAN: Mangaung municipality</t>
  </si>
  <si>
    <t>KZN225: The Msunduzi municipality</t>
  </si>
  <si>
    <t>City of cape town</t>
  </si>
  <si>
    <t>Educational level is aggregated into no formal education, primary school (grade 1 to grade 7), secondary school
(grade 8 to grade 12), diploma or certificate without grade 12 (from lower to grade 11), diploma or certificate with
grade 12, degree and other post-degree</t>
  </si>
  <si>
    <t>inclusive</t>
  </si>
  <si>
    <t>inequality - education</t>
  </si>
  <si>
    <t>StatsSA census 2011</t>
  </si>
  <si>
    <t>Educational level 2011</t>
  </si>
  <si>
    <t xml:space="preserve">Emissions (all fuels excl. aviation, marine) </t>
  </si>
  <si>
    <t xml:space="preserve">sustainable cities </t>
  </si>
  <si>
    <t>vulnerabity</t>
  </si>
  <si>
    <t>State of energy in South Africa 2015</t>
  </si>
  <si>
    <t>Voter registration - local</t>
  </si>
  <si>
    <t>Voter turnout- local</t>
  </si>
  <si>
    <t>Number of voters registered to vote in the local elections</t>
  </si>
  <si>
    <t xml:space="preserve">Number of registered voters voted in the local elections.  </t>
  </si>
  <si>
    <t>Operating expenditures refer to expenditures related to running a city and providing services. They include bulk purchases, employee-related costs, repairs and maintenance and 'other' expenditure.</t>
  </si>
  <si>
    <t>well-governed</t>
  </si>
  <si>
    <t>State of City Finance 2015</t>
  </si>
  <si>
    <t>2yearly</t>
  </si>
  <si>
    <t>Data collected and captured</t>
  </si>
  <si>
    <t>IEC voter turnout report</t>
  </si>
  <si>
    <t>The affordability of municipal bills depends in part upon the rates and charges and in part upon household incomes. Type A is a household that lives in a property with an assessed value of R100,000, consumes 400kWh of electricity and 20kl of water per month, and has a 240 litre bin removed weekly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</si>
</sst>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R&quot;\ #,##0;[Red]&quot;R&quot;\ \-#,##0"/>
    <numFmt numFmtId="43" formatCode="_ * #,##0.00_ ;_ * \-#,##0.00_ ;_ * &quot;-&quot;??_ ;_ @_ "/>
    <numFmt numFmtId="164" formatCode="_ * #,##0_ ;_ * \-#,##0_ ;_ * &quot;-&quot;??_ ;_ @_ "/>
    <numFmt numFmtId="165" formatCode="0.0%"/>
    <numFmt numFmtId="166" formatCode="0.0"/>
    <numFmt numFmtId="167" formatCode="&quot;R&quot;\ #,##0"/>
    <numFmt numFmtId="168" formatCode="#,##0.0"/>
    <numFmt numFmtId="169" formatCode="#,###,##0"/>
    <numFmt numFmtId="170" formatCode="#,##0_ ;\-#,##0\ "/>
    <numFmt numFmtId="171" formatCode="_ * #,##0.0_ ;_ * \-#,##0.0_ ;_ * &quot;-&quot;??_ ;_ @_ "/>
  </numFmts>
  <fonts count="44" x14ac:knownFonts="1">
    <font>
      <sz val="11"/>
      <color theme="1"/>
      <name val="Calibri"/>
      <family val="2"/>
      <scheme val="minor"/>
    </font>
    <font>
      <sz val="11"/>
      <color theme="1"/>
      <name val="Calibri"/>
      <family val="2"/>
      <scheme val="minor"/>
    </font>
    <font>
      <sz val="10"/>
      <color theme="1"/>
      <name val="Calibri"/>
      <family val="2"/>
      <scheme val="minor"/>
    </font>
    <font>
      <b/>
      <sz val="14"/>
      <color theme="0"/>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sz val="9"/>
      <name val="Calibri"/>
      <family val="2"/>
      <scheme val="minor"/>
    </font>
    <font>
      <sz val="9"/>
      <color theme="2" tint="-0.249977111117893"/>
      <name val="Calibri"/>
      <family val="2"/>
      <scheme val="minor"/>
    </font>
    <font>
      <i/>
      <sz val="9"/>
      <color theme="1"/>
      <name val="Calibri"/>
      <family val="2"/>
      <scheme val="minor"/>
    </font>
    <font>
      <sz val="8"/>
      <color theme="1"/>
      <name val="Calibri"/>
      <family val="2"/>
      <scheme val="minor"/>
    </font>
    <font>
      <b/>
      <sz val="9"/>
      <color indexed="81"/>
      <name val="Tahoma"/>
      <family val="2"/>
    </font>
    <font>
      <sz val="9"/>
      <color indexed="81"/>
      <name val="Tahoma"/>
      <family val="2"/>
    </font>
    <font>
      <sz val="9"/>
      <color theme="0" tint="-0.34998626667073579"/>
      <name val="Calibri"/>
      <family val="2"/>
      <scheme val="minor"/>
    </font>
    <font>
      <sz val="9"/>
      <color rgb="FF0070C0"/>
      <name val="Calibri"/>
      <family val="2"/>
      <scheme val="minor"/>
    </font>
    <font>
      <b/>
      <sz val="9"/>
      <name val="Calibri"/>
      <family val="2"/>
      <scheme val="minor"/>
    </font>
    <font>
      <sz val="10"/>
      <color theme="0"/>
      <name val="Calibri"/>
      <family val="2"/>
      <scheme val="minor"/>
    </font>
    <font>
      <b/>
      <sz val="9"/>
      <color theme="1"/>
      <name val="Webdings"/>
      <family val="1"/>
      <charset val="2"/>
    </font>
    <font>
      <sz val="9"/>
      <color theme="1"/>
      <name val="Webdings"/>
      <family val="1"/>
      <charset val="2"/>
    </font>
    <font>
      <sz val="9"/>
      <color theme="2" tint="-0.249977111117893"/>
      <name val="Webdings"/>
      <family val="1"/>
      <charset val="2"/>
    </font>
    <font>
      <sz val="9"/>
      <color rgb="FF000000"/>
      <name val="Calibri"/>
      <family val="2"/>
      <scheme val="minor"/>
    </font>
    <font>
      <sz val="10"/>
      <name val="Arial"/>
      <family val="2"/>
    </font>
    <font>
      <b/>
      <sz val="9"/>
      <color theme="1"/>
      <name val="Calibri Light"/>
      <family val="2"/>
      <scheme val="major"/>
    </font>
    <font>
      <sz val="9"/>
      <color theme="1"/>
      <name val="Calibri Light"/>
      <family val="2"/>
      <scheme val="major"/>
    </font>
    <font>
      <sz val="9"/>
      <name val="Calibri Light"/>
      <family val="2"/>
      <scheme val="major"/>
    </font>
    <font>
      <b/>
      <sz val="11"/>
      <color theme="1"/>
      <name val="Calibri"/>
      <family val="2"/>
      <scheme val="minor"/>
    </font>
    <font>
      <sz val="9"/>
      <name val="Webdings"/>
      <family val="1"/>
      <charset val="2"/>
    </font>
    <font>
      <sz val="11"/>
      <name val="Calibri"/>
      <family val="2"/>
      <scheme val="minor"/>
    </font>
    <font>
      <sz val="9"/>
      <name val="Times New Roman"/>
      <family val="1"/>
    </font>
    <font>
      <sz val="9"/>
      <color theme="0" tint="-0.34998626667073579"/>
      <name val="Webdings"/>
      <family val="1"/>
      <charset val="2"/>
    </font>
    <font>
      <sz val="11"/>
      <color theme="0" tint="-0.34998626667073579"/>
      <name val="Calibri"/>
      <family val="2"/>
      <scheme val="minor"/>
    </font>
    <font>
      <sz val="10"/>
      <color rgb="FF000000"/>
      <name val="Verdana"/>
      <family val="2"/>
    </font>
    <font>
      <sz val="9"/>
      <color rgb="FF000000"/>
      <name val="Verdana"/>
      <family val="2"/>
    </font>
    <font>
      <sz val="11"/>
      <color rgb="FFFF0000"/>
      <name val="Calibri"/>
      <family val="2"/>
      <scheme val="minor"/>
    </font>
    <font>
      <b/>
      <sz val="9"/>
      <color rgb="FFFF0000"/>
      <name val="Calibri"/>
      <family val="2"/>
      <scheme val="minor"/>
    </font>
    <font>
      <sz val="9"/>
      <color rgb="FFFF0000"/>
      <name val="Calibri"/>
      <family val="2"/>
      <scheme val="minor"/>
    </font>
    <font>
      <sz val="8"/>
      <name val="Arial"/>
      <family val="2"/>
    </font>
    <font>
      <sz val="8"/>
      <name val="Arial"/>
      <family val="2"/>
    </font>
    <font>
      <sz val="9"/>
      <name val="Arial"/>
      <family val="2"/>
    </font>
    <font>
      <sz val="9"/>
      <color theme="0" tint="-0.249977111117893"/>
      <name val="Calibri"/>
      <family val="2"/>
      <scheme val="minor"/>
    </font>
    <font>
      <sz val="9"/>
      <color theme="0" tint="-0.249977111117893"/>
      <name val="Webdings"/>
      <family val="1"/>
      <charset val="2"/>
    </font>
    <font>
      <b/>
      <sz val="9"/>
      <color theme="0" tint="-0.249977111117893"/>
      <name val="Calibri"/>
      <family val="2"/>
      <scheme val="minor"/>
    </font>
    <font>
      <b/>
      <i/>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rgb="FF00338D"/>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ashed">
        <color indexed="64"/>
      </right>
      <top/>
      <bottom/>
      <diagonal/>
    </border>
    <border>
      <left/>
      <right style="medium">
        <color indexed="64"/>
      </right>
      <top style="thin">
        <color indexed="64"/>
      </top>
      <bottom/>
      <diagonal/>
    </border>
    <border>
      <left/>
      <right style="dotted">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1" fillId="0" borderId="0" applyFont="0" applyFill="0" applyBorder="0" applyAlignment="0" applyProtection="0"/>
    <xf numFmtId="0" fontId="21" fillId="0" borderId="0">
      <alignment wrapText="1"/>
    </xf>
    <xf numFmtId="0" fontId="36" fillId="0" borderId="0">
      <alignment horizontal="right"/>
    </xf>
    <xf numFmtId="0" fontId="36" fillId="0" borderId="0">
      <alignment horizontal="right"/>
    </xf>
    <xf numFmtId="0" fontId="37" fillId="0" borderId="0">
      <alignment horizontal="right"/>
    </xf>
    <xf numFmtId="0" fontId="36" fillId="0" borderId="0">
      <alignment horizontal="left" vertical="center" wrapText="1"/>
    </xf>
    <xf numFmtId="0" fontId="43" fillId="0" borderId="0" applyNumberFormat="0" applyFill="0" applyBorder="0" applyAlignment="0" applyProtection="0"/>
  </cellStyleXfs>
  <cellXfs count="866">
    <xf numFmtId="0" fontId="0" fillId="0" borderId="0" xfId="0"/>
    <xf numFmtId="0" fontId="0" fillId="0" borderId="0" xfId="0" applyFont="1"/>
    <xf numFmtId="0" fontId="2" fillId="2" borderId="0" xfId="0" applyFont="1" applyFill="1"/>
    <xf numFmtId="0" fontId="5" fillId="0" borderId="0" xfId="0" applyFont="1"/>
    <xf numFmtId="0" fontId="5" fillId="0" borderId="0" xfId="0" applyFont="1" applyFill="1" applyBorder="1"/>
    <xf numFmtId="0" fontId="8" fillId="0" borderId="0" xfId="0" applyFont="1" applyFill="1" applyBorder="1"/>
    <xf numFmtId="3" fontId="5" fillId="0" borderId="0" xfId="0" applyNumberFormat="1" applyFont="1" applyBorder="1"/>
    <xf numFmtId="0" fontId="5" fillId="0" borderId="0" xfId="0" applyFont="1" applyBorder="1"/>
    <xf numFmtId="0" fontId="5" fillId="0" borderId="0" xfId="0" applyFont="1" applyBorder="1" applyAlignment="1">
      <alignment horizontal="center"/>
    </xf>
    <xf numFmtId="0" fontId="8" fillId="0" borderId="0" xfId="0" applyFont="1" applyBorder="1"/>
    <xf numFmtId="0" fontId="5" fillId="0" borderId="0" xfId="0" applyFont="1" applyFill="1" applyAlignment="1">
      <alignment vertical="top"/>
    </xf>
    <xf numFmtId="0" fontId="5" fillId="0" borderId="0" xfId="0" applyFont="1" applyFill="1" applyAlignment="1">
      <alignment vertical="top" wrapText="1"/>
    </xf>
    <xf numFmtId="0" fontId="5" fillId="3" borderId="1" xfId="0" applyFont="1" applyFill="1" applyBorder="1"/>
    <xf numFmtId="0" fontId="7" fillId="0" borderId="0" xfId="0" applyFont="1" applyFill="1" applyAlignment="1">
      <alignment horizontal="left" vertical="top"/>
    </xf>
    <xf numFmtId="0" fontId="6" fillId="0" borderId="0" xfId="0" applyFont="1"/>
    <xf numFmtId="0" fontId="5" fillId="0" borderId="0" xfId="0" applyFont="1" applyAlignment="1">
      <alignment wrapText="1"/>
    </xf>
    <xf numFmtId="0" fontId="5" fillId="0" borderId="0" xfId="0" applyFont="1" applyFill="1"/>
    <xf numFmtId="0" fontId="7" fillId="0" borderId="0" xfId="0" applyFont="1" applyFill="1" applyBorder="1" applyAlignment="1">
      <alignment vertical="top"/>
    </xf>
    <xf numFmtId="0" fontId="10" fillId="0" borderId="0" xfId="0" applyFont="1" applyBorder="1" applyAlignment="1">
      <alignment horizontal="center" vertical="center" wrapText="1"/>
    </xf>
    <xf numFmtId="167" fontId="5" fillId="0" borderId="0" xfId="0" applyNumberFormat="1" applyFont="1" applyBorder="1"/>
    <xf numFmtId="4" fontId="5" fillId="0" borderId="0" xfId="0" applyNumberFormat="1" applyFont="1" applyBorder="1"/>
    <xf numFmtId="167" fontId="8" fillId="0" borderId="0" xfId="0" applyNumberFormat="1" applyFont="1" applyBorder="1"/>
    <xf numFmtId="0" fontId="8" fillId="0" borderId="0" xfId="0" applyFont="1" applyFill="1" applyBorder="1" applyAlignment="1">
      <alignment vertical="center"/>
    </xf>
    <xf numFmtId="167" fontId="7" fillId="0" borderId="0" xfId="0" applyNumberFormat="1" applyFont="1" applyBorder="1"/>
    <xf numFmtId="0" fontId="10" fillId="0" borderId="0" xfId="0" applyFont="1" applyFill="1" applyBorder="1" applyAlignment="1">
      <alignment horizontal="center" vertical="center" wrapText="1"/>
    </xf>
    <xf numFmtId="0" fontId="5" fillId="0" borderId="4" xfId="0" applyFont="1" applyBorder="1"/>
    <xf numFmtId="0" fontId="8" fillId="0" borderId="0" xfId="0" applyFont="1" applyFill="1" applyBorder="1" applyAlignment="1">
      <alignment horizontal="right" vertical="center"/>
    </xf>
    <xf numFmtId="167" fontId="5" fillId="0" borderId="5" xfId="0" applyNumberFormat="1" applyFont="1" applyBorder="1"/>
    <xf numFmtId="167" fontId="14" fillId="0" borderId="3" xfId="0" applyNumberFormat="1" applyFont="1" applyBorder="1"/>
    <xf numFmtId="167" fontId="14" fillId="0" borderId="0" xfId="0" applyNumberFormat="1" applyFont="1" applyBorder="1"/>
    <xf numFmtId="167" fontId="14" fillId="0" borderId="5" xfId="0" applyNumberFormat="1" applyFont="1" applyBorder="1"/>
    <xf numFmtId="0" fontId="5" fillId="0" borderId="5" xfId="0" applyFont="1" applyBorder="1"/>
    <xf numFmtId="4" fontId="5" fillId="0" borderId="3" xfId="0" applyNumberFormat="1" applyFont="1" applyBorder="1"/>
    <xf numFmtId="4" fontId="5" fillId="0" borderId="5" xfId="0" applyNumberFormat="1" applyFont="1" applyBorder="1"/>
    <xf numFmtId="167" fontId="7" fillId="0" borderId="5" xfId="0" applyNumberFormat="1" applyFont="1" applyBorder="1"/>
    <xf numFmtId="167" fontId="5" fillId="0" borderId="3" xfId="0" applyNumberFormat="1" applyFont="1" applyBorder="1"/>
    <xf numFmtId="167" fontId="13" fillId="0" borderId="3" xfId="0" applyNumberFormat="1" applyFont="1" applyBorder="1"/>
    <xf numFmtId="167" fontId="13" fillId="0" borderId="0" xfId="0" applyNumberFormat="1" applyFont="1" applyBorder="1"/>
    <xf numFmtId="167" fontId="13" fillId="0" borderId="5" xfId="0" applyNumberFormat="1" applyFont="1" applyBorder="1"/>
    <xf numFmtId="0" fontId="8" fillId="0" borderId="3" xfId="0" applyFont="1" applyBorder="1"/>
    <xf numFmtId="167" fontId="8" fillId="0" borderId="3" xfId="0" applyNumberFormat="1" applyFont="1" applyBorder="1"/>
    <xf numFmtId="0" fontId="8" fillId="0" borderId="5" xfId="0" applyFont="1" applyBorder="1"/>
    <xf numFmtId="167" fontId="8" fillId="0" borderId="5" xfId="0" applyNumberFormat="1" applyFont="1" applyBorder="1"/>
    <xf numFmtId="167" fontId="7" fillId="0" borderId="3" xfId="0" applyNumberFormat="1" applyFont="1" applyBorder="1"/>
    <xf numFmtId="0" fontId="0" fillId="0" borderId="3" xfId="0" applyFont="1" applyBorder="1"/>
    <xf numFmtId="0" fontId="0" fillId="0" borderId="0" xfId="0" applyFont="1" applyBorder="1"/>
    <xf numFmtId="0" fontId="0" fillId="0" borderId="5" xfId="0" applyFont="1" applyBorder="1"/>
    <xf numFmtId="0" fontId="10" fillId="0" borderId="3" xfId="0" applyFont="1" applyBorder="1" applyAlignment="1">
      <alignment horizontal="center" vertical="center" wrapText="1"/>
    </xf>
    <xf numFmtId="0" fontId="0" fillId="0" borderId="2" xfId="0" applyFont="1" applyBorder="1"/>
    <xf numFmtId="3" fontId="5" fillId="0" borderId="5" xfId="0" applyNumberFormat="1" applyFont="1" applyBorder="1"/>
    <xf numFmtId="0" fontId="5" fillId="3" borderId="8" xfId="0" applyFont="1" applyFill="1" applyBorder="1"/>
    <xf numFmtId="0" fontId="6" fillId="0" borderId="0" xfId="0" applyFont="1" applyBorder="1" applyAlignment="1">
      <alignment horizontal="center"/>
    </xf>
    <xf numFmtId="0" fontId="5" fillId="0" borderId="2" xfId="0" applyFont="1" applyBorder="1"/>
    <xf numFmtId="0" fontId="5" fillId="0" borderId="7" xfId="0" applyFont="1" applyBorder="1"/>
    <xf numFmtId="0" fontId="8" fillId="3" borderId="9" xfId="0" applyFont="1" applyFill="1" applyBorder="1" applyAlignment="1">
      <alignment horizontal="left" vertical="top"/>
    </xf>
    <xf numFmtId="3" fontId="13" fillId="0" borderId="0" xfId="0" applyNumberFormat="1" applyFont="1" applyBorder="1"/>
    <xf numFmtId="0" fontId="13" fillId="0" borderId="0" xfId="0" applyFont="1" applyBorder="1"/>
    <xf numFmtId="0" fontId="0" fillId="0" borderId="0" xfId="0" applyBorder="1"/>
    <xf numFmtId="0" fontId="0" fillId="0" borderId="5" xfId="0" applyBorder="1"/>
    <xf numFmtId="0" fontId="8" fillId="0" borderId="0" xfId="0" applyFont="1" applyFill="1" applyBorder="1" applyAlignment="1">
      <alignment wrapText="1"/>
    </xf>
    <xf numFmtId="0" fontId="5" fillId="0" borderId="0" xfId="0" applyFont="1" applyFill="1" applyBorder="1" applyAlignment="1">
      <alignment wrapText="1"/>
    </xf>
    <xf numFmtId="0" fontId="7" fillId="0" borderId="0" xfId="0" applyFont="1" applyFill="1" applyBorder="1"/>
    <xf numFmtId="0" fontId="0" fillId="0" borderId="7" xfId="0" applyBorder="1"/>
    <xf numFmtId="0" fontId="5" fillId="3" borderId="9" xfId="0" applyFont="1" applyFill="1" applyBorder="1" applyAlignment="1">
      <alignment horizontal="center"/>
    </xf>
    <xf numFmtId="0" fontId="0" fillId="3" borderId="9" xfId="0" applyFont="1" applyFill="1" applyBorder="1"/>
    <xf numFmtId="0" fontId="0" fillId="3" borderId="10" xfId="0" applyFont="1" applyFill="1" applyBorder="1"/>
    <xf numFmtId="0" fontId="8" fillId="0" borderId="3" xfId="0" applyFont="1" applyFill="1" applyBorder="1" applyAlignment="1">
      <alignment horizontal="right" vertical="center"/>
    </xf>
    <xf numFmtId="0" fontId="6" fillId="3" borderId="8" xfId="0" applyFont="1" applyFill="1" applyBorder="1" applyAlignment="1">
      <alignment horizontal="center" vertical="center"/>
    </xf>
    <xf numFmtId="49" fontId="6" fillId="3" borderId="9"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5" fillId="3" borderId="9" xfId="0" applyFont="1" applyFill="1" applyBorder="1"/>
    <xf numFmtId="0" fontId="5" fillId="3" borderId="10" xfId="0" applyFont="1" applyFill="1" applyBorder="1"/>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6" fillId="0" borderId="0" xfId="0" applyFont="1" applyBorder="1" applyAlignment="1">
      <alignment horizontal="center" vertic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2" fillId="2" borderId="2" xfId="0" applyFont="1" applyFill="1" applyBorder="1"/>
    <xf numFmtId="0" fontId="6" fillId="5" borderId="4" xfId="0" applyFont="1" applyFill="1" applyBorder="1" applyAlignment="1">
      <alignment horizontal="center" wrapText="1"/>
    </xf>
    <xf numFmtId="0" fontId="6" fillId="5" borderId="4" xfId="0" applyFont="1" applyFill="1" applyBorder="1" applyAlignment="1">
      <alignment horizontal="center" vertical="center"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2" fillId="0" borderId="0" xfId="0" applyFont="1" applyFill="1" applyBorder="1"/>
    <xf numFmtId="0" fontId="2" fillId="0" borderId="2" xfId="0" applyFont="1" applyFill="1" applyBorder="1"/>
    <xf numFmtId="0" fontId="6" fillId="0" borderId="9" xfId="0" applyFont="1" applyBorder="1" applyAlignment="1">
      <alignment horizontal="center" vertical="top" wrapText="1"/>
    </xf>
    <xf numFmtId="0" fontId="5" fillId="0" borderId="3" xfId="0" applyFont="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3" fontId="5" fillId="0" borderId="3" xfId="0" applyNumberFormat="1" applyFont="1" applyBorder="1" applyAlignment="1">
      <alignment vertical="top"/>
    </xf>
    <xf numFmtId="3" fontId="5" fillId="0" borderId="0" xfId="0" applyNumberFormat="1" applyFont="1" applyBorder="1" applyAlignment="1">
      <alignment vertical="top"/>
    </xf>
    <xf numFmtId="3" fontId="5" fillId="0" borderId="5" xfId="0" applyNumberFormat="1" applyFont="1" applyBorder="1" applyAlignment="1">
      <alignment vertical="top"/>
    </xf>
    <xf numFmtId="164" fontId="5" fillId="0" borderId="0" xfId="1" applyNumberFormat="1" applyFont="1" applyBorder="1" applyAlignment="1">
      <alignment vertical="top"/>
    </xf>
    <xf numFmtId="0" fontId="5" fillId="0" borderId="0" xfId="0" applyFont="1" applyBorder="1" applyAlignment="1">
      <alignment vertical="top"/>
    </xf>
    <xf numFmtId="0" fontId="5" fillId="0" borderId="5" xfId="0" applyFont="1" applyBorder="1" applyAlignment="1">
      <alignment vertical="top"/>
    </xf>
    <xf numFmtId="0" fontId="5" fillId="0" borderId="3" xfId="0" applyFont="1" applyBorder="1" applyAlignment="1">
      <alignment horizontal="center" vertical="top"/>
    </xf>
    <xf numFmtId="165" fontId="5" fillId="0" borderId="0" xfId="0" applyNumberFormat="1" applyFont="1" applyBorder="1" applyAlignment="1">
      <alignment vertical="top"/>
    </xf>
    <xf numFmtId="165" fontId="5" fillId="0" borderId="5" xfId="0" applyNumberFormat="1" applyFont="1" applyBorder="1" applyAlignment="1">
      <alignment vertical="top"/>
    </xf>
    <xf numFmtId="0" fontId="5" fillId="0" borderId="0" xfId="0" applyFont="1" applyBorder="1" applyAlignment="1">
      <alignment horizontal="center" vertical="top"/>
    </xf>
    <xf numFmtId="10" fontId="5" fillId="0" borderId="0" xfId="0" applyNumberFormat="1" applyFont="1" applyBorder="1" applyAlignment="1">
      <alignment vertical="top"/>
    </xf>
    <xf numFmtId="9" fontId="5" fillId="0" borderId="0" xfId="0" applyNumberFormat="1" applyFont="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3" fontId="8" fillId="0" borderId="3" xfId="0" applyNumberFormat="1" applyFont="1" applyBorder="1" applyAlignment="1">
      <alignment vertical="top"/>
    </xf>
    <xf numFmtId="3" fontId="8" fillId="0" borderId="0" xfId="0" applyNumberFormat="1" applyFont="1" applyBorder="1" applyAlignment="1">
      <alignment vertical="top"/>
    </xf>
    <xf numFmtId="3" fontId="8" fillId="0" borderId="5" xfId="0" applyNumberFormat="1"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166" fontId="8" fillId="0" borderId="5" xfId="0" applyNumberFormat="1" applyFont="1" applyBorder="1" applyAlignment="1">
      <alignment vertical="top"/>
    </xf>
    <xf numFmtId="166" fontId="8" fillId="0" borderId="0" xfId="0" applyNumberFormat="1" applyFont="1" applyBorder="1" applyAlignment="1">
      <alignment vertical="top"/>
    </xf>
    <xf numFmtId="166" fontId="8" fillId="0" borderId="3" xfId="0" applyNumberFormat="1" applyFont="1" applyBorder="1" applyAlignment="1">
      <alignment vertical="top"/>
    </xf>
    <xf numFmtId="164" fontId="8" fillId="0" borderId="5" xfId="1" applyNumberFormat="1" applyFont="1" applyBorder="1" applyAlignment="1">
      <alignment vertical="top"/>
    </xf>
    <xf numFmtId="164" fontId="8" fillId="0" borderId="0" xfId="1" applyNumberFormat="1" applyFont="1" applyBorder="1" applyAlignment="1">
      <alignment vertical="top"/>
    </xf>
    <xf numFmtId="164" fontId="8" fillId="0" borderId="0" xfId="0" applyNumberFormat="1" applyFont="1" applyBorder="1" applyAlignment="1">
      <alignment vertical="top"/>
    </xf>
    <xf numFmtId="164" fontId="8" fillId="0" borderId="3" xfId="1" applyNumberFormat="1" applyFont="1" applyBorder="1" applyAlignment="1">
      <alignment vertical="top"/>
    </xf>
    <xf numFmtId="0" fontId="5" fillId="0" borderId="2" xfId="0" applyFont="1" applyBorder="1" applyAlignment="1">
      <alignment vertical="top"/>
    </xf>
    <xf numFmtId="0" fontId="3" fillId="2" borderId="0" xfId="0" applyFont="1" applyFill="1" applyAlignment="1">
      <alignment horizontal="centerContinuous"/>
    </xf>
    <xf numFmtId="0" fontId="2" fillId="2" borderId="0" xfId="0" applyFont="1" applyFill="1" applyAlignment="1">
      <alignment horizontal="centerContinuous"/>
    </xf>
    <xf numFmtId="0" fontId="4" fillId="2" borderId="0" xfId="0" applyFont="1" applyFill="1" applyAlignment="1">
      <alignment horizontal="centerContinuous"/>
    </xf>
    <xf numFmtId="0" fontId="6" fillId="3" borderId="9" xfId="0" applyFont="1" applyFill="1" applyBorder="1" applyAlignment="1">
      <alignment vertical="top"/>
    </xf>
    <xf numFmtId="0" fontId="6" fillId="3" borderId="9" xfId="0" applyFont="1" applyFill="1" applyBorder="1" applyAlignment="1">
      <alignment vertical="top" wrapText="1"/>
    </xf>
    <xf numFmtId="0" fontId="8" fillId="3" borderId="9" xfId="0" applyFont="1" applyFill="1" applyBorder="1" applyAlignment="1">
      <alignment horizontal="left" vertical="top" wrapText="1"/>
    </xf>
    <xf numFmtId="0" fontId="7" fillId="0" borderId="0" xfId="0" applyFont="1" applyFill="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left" vertical="top" wrapText="1"/>
    </xf>
    <xf numFmtId="0" fontId="5" fillId="3" borderId="8" xfId="0" applyFont="1" applyFill="1" applyBorder="1" applyAlignment="1">
      <alignment vertical="top"/>
    </xf>
    <xf numFmtId="0" fontId="5" fillId="0" borderId="0" xfId="0" applyFont="1" applyAlignment="1">
      <alignment vertical="top" wrapText="1"/>
    </xf>
    <xf numFmtId="0" fontId="6" fillId="0" borderId="0" xfId="0" applyFont="1" applyAlignment="1">
      <alignment vertical="top"/>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6" fillId="2" borderId="0" xfId="0" applyFont="1" applyFill="1" applyAlignment="1">
      <alignment horizontal="centerContinuous"/>
    </xf>
    <xf numFmtId="0" fontId="2" fillId="2" borderId="0" xfId="0" applyFont="1" applyFill="1" applyAlignment="1"/>
    <xf numFmtId="0" fontId="5" fillId="0" borderId="0" xfId="0" applyFont="1" applyAlignment="1"/>
    <xf numFmtId="0" fontId="6" fillId="3" borderId="1" xfId="0" applyFont="1" applyFill="1" applyBorder="1" applyAlignment="1">
      <alignment vertical="top"/>
    </xf>
    <xf numFmtId="0" fontId="5" fillId="0" borderId="0" xfId="0" applyFont="1" applyFill="1" applyBorder="1" applyAlignment="1">
      <alignment horizontal="left" vertical="top"/>
    </xf>
    <xf numFmtId="0" fontId="6" fillId="3" borderId="9" xfId="0" applyFont="1" applyFill="1" applyBorder="1" applyAlignment="1">
      <alignment horizontal="left" vertical="top"/>
    </xf>
    <xf numFmtId="0" fontId="6" fillId="0" borderId="0" xfId="0" applyFont="1" applyBorder="1" applyAlignment="1">
      <alignment horizontal="left" vertical="top"/>
    </xf>
    <xf numFmtId="0" fontId="9"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6" fillId="3" borderId="9" xfId="0" applyFont="1" applyFill="1" applyBorder="1" applyAlignment="1">
      <alignment horizontal="left" vertical="top" wrapText="1"/>
    </xf>
    <xf numFmtId="0" fontId="6"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3" borderId="8" xfId="0" applyFont="1" applyFill="1" applyBorder="1" applyAlignment="1">
      <alignment horizontal="center" vertical="top"/>
    </xf>
    <xf numFmtId="0" fontId="5" fillId="0" borderId="3" xfId="0" applyFont="1" applyBorder="1" applyAlignment="1">
      <alignment horizontal="left" vertical="top"/>
    </xf>
    <xf numFmtId="0" fontId="5" fillId="3" borderId="8" xfId="0" applyFont="1" applyFill="1" applyBorder="1" applyAlignment="1">
      <alignment horizontal="left" vertical="top"/>
    </xf>
    <xf numFmtId="0" fontId="7" fillId="0" borderId="0" xfId="0" applyFont="1" applyFill="1" applyBorder="1" applyAlignment="1">
      <alignment vertical="center"/>
    </xf>
    <xf numFmtId="0" fontId="5" fillId="0" borderId="11" xfId="0" applyFont="1" applyBorder="1" applyAlignment="1">
      <alignment horizontal="center" vertical="top"/>
    </xf>
    <xf numFmtId="0" fontId="5" fillId="0" borderId="16" xfId="0" applyFont="1" applyBorder="1"/>
    <xf numFmtId="0" fontId="5" fillId="0" borderId="17" xfId="0" applyFont="1" applyBorder="1"/>
    <xf numFmtId="0" fontId="6" fillId="5" borderId="19" xfId="0" applyFont="1" applyFill="1" applyBorder="1" applyAlignment="1">
      <alignment horizontal="center" vertical="center" wrapText="1"/>
    </xf>
    <xf numFmtId="0" fontId="5" fillId="0" borderId="18" xfId="0" applyFont="1" applyBorder="1"/>
    <xf numFmtId="9" fontId="6" fillId="0" borderId="19" xfId="2" applyFont="1" applyBorder="1"/>
    <xf numFmtId="9" fontId="6" fillId="0" borderId="24" xfId="2" applyFont="1" applyBorder="1"/>
    <xf numFmtId="0" fontId="5" fillId="0" borderId="22" xfId="0" applyFont="1" applyBorder="1"/>
    <xf numFmtId="0" fontId="5" fillId="0" borderId="23" xfId="0" applyFont="1" applyBorder="1"/>
    <xf numFmtId="0" fontId="6" fillId="0" borderId="25" xfId="0" applyFont="1" applyBorder="1"/>
    <xf numFmtId="0" fontId="6" fillId="0" borderId="26" xfId="0" applyFont="1" applyBorder="1"/>
    <xf numFmtId="9" fontId="6" fillId="0" borderId="27" xfId="2" applyFont="1" applyBorder="1"/>
    <xf numFmtId="0" fontId="5" fillId="0" borderId="28" xfId="0" applyFont="1" applyBorder="1"/>
    <xf numFmtId="9" fontId="6" fillId="0" borderId="29" xfId="2" applyFont="1" applyBorder="1"/>
    <xf numFmtId="0" fontId="6" fillId="5" borderId="18" xfId="0" applyFont="1" applyFill="1" applyBorder="1" applyAlignment="1">
      <alignment horizontal="center" wrapText="1"/>
    </xf>
    <xf numFmtId="0" fontId="5" fillId="0" borderId="8" xfId="0" applyFont="1" applyBorder="1" applyAlignment="1">
      <alignment vertical="top" wrapText="1"/>
    </xf>
    <xf numFmtId="0" fontId="6" fillId="0" borderId="9" xfId="0" applyFont="1" applyFill="1" applyBorder="1" applyAlignment="1">
      <alignment horizontal="center" vertical="top" wrapText="1"/>
    </xf>
    <xf numFmtId="0" fontId="5" fillId="0" borderId="9" xfId="0" applyFont="1" applyBorder="1" applyAlignment="1">
      <alignment wrapText="1"/>
    </xf>
    <xf numFmtId="0" fontId="5" fillId="0" borderId="3" xfId="0" applyFont="1" applyBorder="1" applyAlignment="1">
      <alignment wrapText="1"/>
    </xf>
    <xf numFmtId="0" fontId="6" fillId="0" borderId="8" xfId="0" applyFont="1" applyBorder="1" applyAlignment="1">
      <alignment horizontal="center" vertical="top" wrapText="1"/>
    </xf>
    <xf numFmtId="0" fontId="0" fillId="0" borderId="0" xfId="0" applyFont="1" applyFill="1" applyBorder="1"/>
    <xf numFmtId="0" fontId="6" fillId="3" borderId="9" xfId="0" applyFont="1" applyFill="1" applyBorder="1" applyAlignment="1">
      <alignment horizontal="centerContinuous"/>
    </xf>
    <xf numFmtId="0" fontId="6" fillId="5" borderId="20" xfId="0" applyFont="1" applyFill="1" applyBorder="1" applyAlignment="1">
      <alignment horizontal="centerContinuous"/>
    </xf>
    <xf numFmtId="0" fontId="2" fillId="5" borderId="9" xfId="0" applyFont="1" applyFill="1" applyBorder="1" applyAlignment="1">
      <alignment horizontal="centerContinuous"/>
    </xf>
    <xf numFmtId="0" fontId="2" fillId="5" borderId="21" xfId="0" applyFont="1" applyFill="1" applyBorder="1" applyAlignment="1">
      <alignment horizontal="centerContinuous"/>
    </xf>
    <xf numFmtId="0" fontId="6" fillId="3" borderId="20" xfId="0" applyFont="1" applyFill="1" applyBorder="1" applyAlignment="1">
      <alignment horizontal="centerContinuous"/>
    </xf>
    <xf numFmtId="0" fontId="6" fillId="3" borderId="21" xfId="0" applyFont="1" applyFill="1" applyBorder="1" applyAlignment="1">
      <alignment horizontal="centerContinuous"/>
    </xf>
    <xf numFmtId="0" fontId="6" fillId="0" borderId="21" xfId="0" applyFont="1" applyBorder="1" applyAlignment="1">
      <alignment horizontal="center" vertical="top" wrapText="1"/>
    </xf>
    <xf numFmtId="0" fontId="6" fillId="3" borderId="30" xfId="0" applyFont="1" applyFill="1" applyBorder="1" applyAlignment="1">
      <alignment horizontal="centerContinuous"/>
    </xf>
    <xf numFmtId="0" fontId="6" fillId="0" borderId="30" xfId="0" applyFont="1" applyBorder="1" applyAlignment="1">
      <alignment horizontal="center" vertical="top" wrapText="1"/>
    </xf>
    <xf numFmtId="0" fontId="6" fillId="6" borderId="13" xfId="0" applyFont="1" applyFill="1" applyBorder="1" applyAlignment="1">
      <alignment horizontal="centerContinuous"/>
    </xf>
    <xf numFmtId="0" fontId="6" fillId="6" borderId="14" xfId="0" applyFont="1" applyFill="1" applyBorder="1" applyAlignment="1">
      <alignment horizontal="centerContinuous"/>
    </xf>
    <xf numFmtId="0" fontId="6" fillId="6" borderId="15" xfId="0" applyFont="1" applyFill="1" applyBorder="1" applyAlignment="1">
      <alignment horizontal="centerContinuous"/>
    </xf>
    <xf numFmtId="0" fontId="6" fillId="5" borderId="9" xfId="0" applyFont="1" applyFill="1" applyBorder="1" applyAlignment="1">
      <alignment horizontal="centerContinuous"/>
    </xf>
    <xf numFmtId="0" fontId="6" fillId="6" borderId="34" xfId="0" applyFont="1" applyFill="1" applyBorder="1" applyAlignment="1">
      <alignment horizontal="centerContinuous"/>
    </xf>
    <xf numFmtId="0" fontId="5" fillId="0" borderId="35" xfId="0" applyFont="1" applyBorder="1"/>
    <xf numFmtId="0" fontId="5" fillId="0" borderId="38" xfId="0" applyFont="1" applyBorder="1"/>
    <xf numFmtId="0" fontId="17" fillId="0" borderId="9" xfId="0" applyFont="1" applyBorder="1" applyAlignment="1">
      <alignment horizontal="center" vertical="top"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0" borderId="0" xfId="0" applyFont="1" applyFill="1"/>
    <xf numFmtId="0" fontId="2" fillId="0" borderId="0" xfId="0" applyFont="1" applyFill="1" applyAlignment="1"/>
    <xf numFmtId="0" fontId="0" fillId="0" borderId="0" xfId="0" applyFont="1" applyFill="1"/>
    <xf numFmtId="0" fontId="7" fillId="0" borderId="1" xfId="0" applyFont="1" applyFill="1" applyBorder="1" applyAlignment="1">
      <alignment horizontal="left" vertical="top" wrapText="1"/>
    </xf>
    <xf numFmtId="0" fontId="7" fillId="3" borderId="9" xfId="0" applyFont="1" applyFill="1" applyBorder="1" applyAlignment="1">
      <alignment horizontal="left" vertical="top" wrapText="1"/>
    </xf>
    <xf numFmtId="0" fontId="5" fillId="0" borderId="0" xfId="0" applyFont="1" applyBorder="1" applyAlignment="1">
      <alignment horizontal="left" vertical="top" wrapText="1"/>
    </xf>
    <xf numFmtId="43" fontId="5" fillId="0" borderId="0" xfId="1" applyFont="1" applyBorder="1"/>
    <xf numFmtId="0" fontId="5" fillId="5" borderId="33" xfId="0" applyFont="1" applyFill="1" applyBorder="1"/>
    <xf numFmtId="0" fontId="5" fillId="3" borderId="33" xfId="0" applyFont="1" applyFill="1" applyBorder="1"/>
    <xf numFmtId="0" fontId="6" fillId="3" borderId="43" xfId="0" applyFont="1" applyFill="1" applyBorder="1" applyAlignment="1">
      <alignment vertical="top"/>
    </xf>
    <xf numFmtId="0" fontId="5" fillId="3" borderId="12" xfId="0" applyFont="1" applyFill="1" applyBorder="1"/>
    <xf numFmtId="164" fontId="5" fillId="0" borderId="16" xfId="1" applyNumberFormat="1" applyFont="1" applyBorder="1" applyAlignment="1"/>
    <xf numFmtId="164" fontId="5" fillId="0" borderId="0" xfId="1" applyNumberFormat="1" applyFont="1" applyBorder="1" applyAlignment="1"/>
    <xf numFmtId="165" fontId="5" fillId="0" borderId="16" xfId="0" applyNumberFormat="1" applyFont="1" applyBorder="1"/>
    <xf numFmtId="165" fontId="5" fillId="0" borderId="0" xfId="0" applyNumberFormat="1" applyFont="1" applyBorder="1"/>
    <xf numFmtId="10" fontId="5" fillId="0" borderId="0" xfId="0" applyNumberFormat="1" applyFont="1" applyBorder="1"/>
    <xf numFmtId="0" fontId="5" fillId="0" borderId="7" xfId="0" applyFont="1" applyBorder="1" applyAlignment="1">
      <alignment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18" fillId="0" borderId="16"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0" xfId="0" applyFont="1" applyAlignment="1">
      <alignment horizontal="center" vertical="center"/>
    </xf>
    <xf numFmtId="0" fontId="5" fillId="0" borderId="0" xfId="0" applyFont="1" applyAlignment="1">
      <alignment horizontal="center" vertical="center"/>
    </xf>
    <xf numFmtId="0" fontId="19" fillId="3" borderId="9"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21" xfId="0" applyFont="1" applyFill="1" applyBorder="1" applyAlignment="1">
      <alignment horizontal="center" vertical="center" wrapText="1"/>
    </xf>
    <xf numFmtId="43" fontId="20" fillId="0" borderId="0" xfId="1" applyFont="1"/>
    <xf numFmtId="164" fontId="24" fillId="0" borderId="9" xfId="1" applyNumberFormat="1" applyFont="1" applyFill="1" applyBorder="1"/>
    <xf numFmtId="164" fontId="24" fillId="0" borderId="9" xfId="1" applyNumberFormat="1" applyFont="1" applyFill="1" applyBorder="1" applyAlignment="1">
      <alignment horizontal="right"/>
    </xf>
    <xf numFmtId="164" fontId="24" fillId="0" borderId="8" xfId="1" applyNumberFormat="1" applyFont="1" applyFill="1" applyBorder="1"/>
    <xf numFmtId="164" fontId="24" fillId="0" borderId="10" xfId="1" applyNumberFormat="1" applyFont="1" applyFill="1" applyBorder="1" applyAlignment="1">
      <alignment horizontal="right"/>
    </xf>
    <xf numFmtId="164" fontId="24" fillId="0" borderId="10" xfId="1" applyNumberFormat="1" applyFont="1" applyFill="1" applyBorder="1"/>
    <xf numFmtId="164" fontId="24" fillId="0" borderId="8" xfId="1" applyNumberFormat="1" applyFont="1" applyFill="1" applyBorder="1" applyAlignment="1">
      <alignment horizontal="right"/>
    </xf>
    <xf numFmtId="164" fontId="23" fillId="0" borderId="9" xfId="1" applyNumberFormat="1" applyFont="1" applyFill="1" applyBorder="1" applyAlignment="1">
      <alignment horizontal="center"/>
    </xf>
    <xf numFmtId="0" fontId="5" fillId="0" borderId="0" xfId="0" applyFont="1" applyBorder="1" applyAlignment="1">
      <alignment horizontal="right"/>
    </xf>
    <xf numFmtId="0" fontId="7" fillId="0" borderId="1" xfId="0" applyFont="1" applyFill="1" applyBorder="1" applyAlignment="1">
      <alignment vertical="top" wrapText="1"/>
    </xf>
    <xf numFmtId="0" fontId="7" fillId="0" borderId="1" xfId="0" applyFont="1" applyFill="1" applyBorder="1" applyAlignment="1">
      <alignment horizontal="left" vertical="top"/>
    </xf>
    <xf numFmtId="0" fontId="7" fillId="0" borderId="0" xfId="0" applyFont="1" applyFill="1" applyBorder="1" applyAlignment="1">
      <alignment vertical="top" wrapText="1"/>
    </xf>
    <xf numFmtId="0" fontId="8" fillId="3" borderId="9" xfId="0" applyFont="1" applyFill="1" applyBorder="1" applyAlignment="1">
      <alignment vertical="top"/>
    </xf>
    <xf numFmtId="0" fontId="8" fillId="0" borderId="0" xfId="0" applyFont="1" applyFill="1" applyBorder="1" applyAlignment="1">
      <alignment horizontal="right" vertical="top"/>
    </xf>
    <xf numFmtId="0" fontId="7" fillId="3" borderId="9" xfId="0" applyFont="1" applyFill="1" applyBorder="1" applyAlignment="1">
      <alignment vertical="top"/>
    </xf>
    <xf numFmtId="0" fontId="7" fillId="3" borderId="9" xfId="0" applyFont="1" applyFill="1" applyBorder="1" applyAlignment="1">
      <alignment horizontal="left" vertical="top"/>
    </xf>
    <xf numFmtId="0" fontId="5" fillId="0" borderId="0" xfId="0" applyFont="1" applyBorder="1" applyAlignment="1">
      <alignment horizontal="right" vertical="top"/>
    </xf>
    <xf numFmtId="0" fontId="5" fillId="0" borderId="0" xfId="0" applyFont="1" applyBorder="1" applyAlignment="1">
      <alignment horizontal="left" vertical="top"/>
    </xf>
    <xf numFmtId="0" fontId="6" fillId="3" borderId="8" xfId="0" applyFont="1" applyFill="1" applyBorder="1" applyAlignment="1">
      <alignment horizontal="center" vertical="top"/>
    </xf>
    <xf numFmtId="0" fontId="6" fillId="3" borderId="9" xfId="0" applyFont="1" applyFill="1" applyBorder="1" applyAlignment="1">
      <alignment horizontal="center" vertical="top"/>
    </xf>
    <xf numFmtId="0" fontId="6" fillId="0" borderId="0" xfId="0" applyFont="1" applyBorder="1" applyAlignment="1">
      <alignment horizontal="center" vertical="top"/>
    </xf>
    <xf numFmtId="0" fontId="5" fillId="0" borderId="0" xfId="0" applyFont="1" applyBorder="1" applyAlignment="1">
      <alignment horizontal="right" wrapText="1"/>
    </xf>
    <xf numFmtId="164" fontId="5" fillId="0" borderId="11" xfId="1" applyNumberFormat="1" applyFont="1" applyBorder="1" applyAlignment="1">
      <alignment horizontal="right"/>
    </xf>
    <xf numFmtId="164" fontId="5" fillId="0" borderId="1" xfId="1" applyNumberFormat="1" applyFont="1" applyBorder="1" applyAlignment="1">
      <alignment horizontal="right"/>
    </xf>
    <xf numFmtId="164" fontId="5" fillId="0" borderId="0" xfId="1" applyNumberFormat="1" applyFont="1" applyBorder="1" applyAlignment="1">
      <alignment horizontal="right"/>
    </xf>
    <xf numFmtId="164" fontId="5" fillId="0" borderId="40" xfId="1" applyNumberFormat="1" applyFont="1" applyBorder="1" applyAlignment="1">
      <alignment horizontal="right"/>
    </xf>
    <xf numFmtId="164" fontId="5" fillId="0" borderId="17" xfId="1" applyNumberFormat="1" applyFont="1" applyBorder="1" applyAlignment="1">
      <alignment horizontal="right"/>
    </xf>
    <xf numFmtId="164" fontId="5" fillId="0" borderId="3" xfId="1" applyNumberFormat="1" applyFont="1" applyBorder="1" applyAlignment="1">
      <alignment horizontal="right"/>
    </xf>
    <xf numFmtId="164" fontId="5" fillId="0" borderId="41" xfId="1" applyNumberFormat="1" applyFont="1" applyBorder="1" applyAlignment="1">
      <alignment horizontal="right"/>
    </xf>
    <xf numFmtId="164" fontId="5" fillId="0" borderId="39" xfId="1" applyNumberFormat="1" applyFont="1" applyBorder="1" applyAlignment="1">
      <alignment horizontal="right"/>
    </xf>
    <xf numFmtId="164" fontId="5" fillId="0" borderId="36" xfId="1" applyNumberFormat="1" applyFont="1" applyBorder="1" applyAlignment="1">
      <alignment horizontal="right"/>
    </xf>
    <xf numFmtId="164" fontId="5" fillId="0" borderId="42" xfId="1" applyNumberFormat="1" applyFont="1" applyBorder="1" applyAlignment="1">
      <alignment horizontal="right"/>
    </xf>
    <xf numFmtId="164" fontId="5" fillId="0" borderId="37" xfId="1" applyNumberFormat="1" applyFont="1" applyBorder="1" applyAlignment="1">
      <alignment horizontal="right"/>
    </xf>
    <xf numFmtId="0" fontId="5" fillId="0" borderId="4" xfId="0" applyFont="1" applyFill="1" applyBorder="1"/>
    <xf numFmtId="0" fontId="5" fillId="0" borderId="23" xfId="0" applyFont="1" applyFill="1" applyBorder="1"/>
    <xf numFmtId="0" fontId="3" fillId="2" borderId="0" xfId="0" applyFont="1" applyFill="1" applyAlignment="1"/>
    <xf numFmtId="0" fontId="16" fillId="2" borderId="0" xfId="0" applyFont="1" applyFill="1" applyAlignment="1"/>
    <xf numFmtId="0" fontId="6" fillId="0" borderId="0" xfId="0" applyFont="1" applyBorder="1"/>
    <xf numFmtId="0" fontId="5" fillId="0" borderId="0" xfId="0" applyFont="1" applyAlignment="1">
      <alignment horizontal="right" vertical="top"/>
    </xf>
    <xf numFmtId="0" fontId="7" fillId="0" borderId="0" xfId="0" applyFont="1" applyFill="1" applyAlignment="1">
      <alignment horizontal="right" vertical="top"/>
    </xf>
    <xf numFmtId="0" fontId="18" fillId="0" borderId="0" xfId="0" applyFont="1" applyBorder="1" applyAlignment="1">
      <alignment horizontal="center" vertical="center"/>
    </xf>
    <xf numFmtId="10" fontId="5" fillId="0" borderId="0" xfId="0" applyNumberFormat="1" applyFont="1" applyBorder="1" applyAlignment="1">
      <alignment horizontal="right" vertical="top"/>
    </xf>
    <xf numFmtId="3" fontId="7" fillId="0" borderId="0" xfId="0" applyNumberFormat="1" applyFont="1" applyBorder="1"/>
    <xf numFmtId="0" fontId="7" fillId="0" borderId="0" xfId="0" applyFont="1" applyBorder="1"/>
    <xf numFmtId="0" fontId="0" fillId="0" borderId="0" xfId="0" applyFill="1" applyBorder="1"/>
    <xf numFmtId="0" fontId="25" fillId="0" borderId="0" xfId="0" applyFont="1" applyBorder="1" applyAlignment="1">
      <alignment horizontal="center"/>
    </xf>
    <xf numFmtId="0" fontId="7" fillId="0" borderId="0" xfId="0" applyFont="1" applyBorder="1" applyAlignment="1">
      <alignment horizontal="right"/>
    </xf>
    <xf numFmtId="3" fontId="7" fillId="0" borderId="0" xfId="0" applyNumberFormat="1" applyFont="1" applyBorder="1" applyAlignment="1">
      <alignment horizontal="right"/>
    </xf>
    <xf numFmtId="0" fontId="7" fillId="0" borderId="0" xfId="0" applyFont="1" applyFill="1" applyBorder="1" applyAlignment="1">
      <alignment horizontal="right" vertical="top" wrapText="1"/>
    </xf>
    <xf numFmtId="0" fontId="7" fillId="0" borderId="0" xfId="0" applyFont="1" applyFill="1" applyBorder="1" applyAlignment="1">
      <alignment horizontal="right" vertical="top"/>
    </xf>
    <xf numFmtId="0" fontId="26" fillId="0" borderId="0" xfId="0" applyFont="1" applyFill="1" applyBorder="1" applyAlignment="1">
      <alignment horizontal="right" vertical="center" wrapText="1"/>
    </xf>
    <xf numFmtId="0" fontId="26" fillId="0" borderId="16" xfId="0" applyFont="1" applyFill="1" applyBorder="1" applyAlignment="1">
      <alignment horizontal="right" vertical="center" wrapText="1"/>
    </xf>
    <xf numFmtId="0" fontId="26" fillId="0" borderId="31" xfId="0" applyFont="1" applyFill="1" applyBorder="1" applyAlignment="1">
      <alignment horizontal="right" vertical="center" wrapText="1"/>
    </xf>
    <xf numFmtId="0" fontId="26" fillId="0" borderId="17" xfId="0" applyFont="1" applyFill="1" applyBorder="1" applyAlignment="1">
      <alignment horizontal="right" vertical="center" wrapText="1"/>
    </xf>
    <xf numFmtId="0" fontId="7" fillId="0" borderId="0" xfId="0" applyFont="1" applyAlignment="1">
      <alignment horizontal="right"/>
    </xf>
    <xf numFmtId="0" fontId="27" fillId="0" borderId="0" xfId="0" applyFont="1" applyBorder="1" applyAlignment="1">
      <alignment horizontal="right"/>
    </xf>
    <xf numFmtId="0" fontId="0" fillId="0" borderId="0" xfId="0" applyFont="1"/>
    <xf numFmtId="0" fontId="0" fillId="0" borderId="0" xfId="0" applyFont="1" applyBorder="1"/>
    <xf numFmtId="0" fontId="0" fillId="0" borderId="5" xfId="0" applyFont="1" applyBorder="1"/>
    <xf numFmtId="0" fontId="5" fillId="0" borderId="3" xfId="0" applyFont="1" applyBorder="1" applyAlignment="1">
      <alignment horizontal="center" vertical="top"/>
    </xf>
    <xf numFmtId="0" fontId="15" fillId="0" borderId="0" xfId="0" applyFont="1" applyFill="1" applyBorder="1" applyAlignment="1">
      <alignment horizontal="right" vertical="top" wrapText="1"/>
    </xf>
    <xf numFmtId="0" fontId="7" fillId="0" borderId="0" xfId="0" applyFont="1" applyAlignment="1">
      <alignment horizontal="right" vertical="center" wrapText="1"/>
    </xf>
    <xf numFmtId="0" fontId="15" fillId="0" borderId="0" xfId="0" applyFont="1" applyAlignment="1">
      <alignment horizontal="right" vertical="center" wrapText="1"/>
    </xf>
    <xf numFmtId="170" fontId="7" fillId="0" borderId="0" xfId="1" applyNumberFormat="1" applyFont="1" applyAlignment="1">
      <alignment horizontal="right"/>
    </xf>
    <xf numFmtId="170" fontId="7" fillId="0" borderId="0" xfId="1" applyNumberFormat="1" applyFont="1" applyBorder="1" applyAlignment="1">
      <alignment horizontal="right"/>
    </xf>
    <xf numFmtId="170" fontId="7" fillId="0" borderId="0" xfId="1" applyNumberFormat="1" applyFont="1" applyAlignment="1">
      <alignment horizontal="right" vertical="center" wrapText="1"/>
    </xf>
    <xf numFmtId="164" fontId="7" fillId="0" borderId="0" xfId="1" applyNumberFormat="1" applyFont="1" applyBorder="1" applyAlignment="1">
      <alignment horizontal="right"/>
    </xf>
    <xf numFmtId="164" fontId="7" fillId="0" borderId="0" xfId="1" applyNumberFormat="1" applyFont="1" applyAlignment="1">
      <alignment horizontal="right"/>
    </xf>
    <xf numFmtId="170" fontId="15" fillId="0" borderId="0" xfId="0" applyNumberFormat="1" applyFont="1" applyAlignment="1">
      <alignment horizontal="right"/>
    </xf>
    <xf numFmtId="0" fontId="6" fillId="0" borderId="2" xfId="0" applyFont="1" applyBorder="1"/>
    <xf numFmtId="3" fontId="5" fillId="0" borderId="0" xfId="0" applyNumberFormat="1" applyFont="1" applyBorder="1" applyAlignment="1">
      <alignment horizontal="right" vertical="top"/>
    </xf>
    <xf numFmtId="3" fontId="5" fillId="0" borderId="5" xfId="0" applyNumberFormat="1" applyFont="1" applyBorder="1" applyAlignment="1">
      <alignment horizontal="right" vertical="top"/>
    </xf>
    <xf numFmtId="0" fontId="5" fillId="0" borderId="3" xfId="0" applyFont="1" applyBorder="1" applyAlignment="1">
      <alignment horizontal="right" vertical="top"/>
    </xf>
    <xf numFmtId="10" fontId="5" fillId="0" borderId="5" xfId="0" applyNumberFormat="1" applyFont="1" applyBorder="1" applyAlignment="1">
      <alignment horizontal="right" vertical="top"/>
    </xf>
    <xf numFmtId="0" fontId="5" fillId="0" borderId="5" xfId="0" applyFont="1" applyBorder="1" applyAlignment="1">
      <alignment horizontal="right" vertical="top"/>
    </xf>
    <xf numFmtId="3" fontId="5" fillId="0" borderId="1" xfId="0" applyNumberFormat="1" applyFont="1" applyBorder="1" applyAlignment="1">
      <alignment horizontal="right" vertical="top"/>
    </xf>
    <xf numFmtId="3" fontId="5" fillId="0" borderId="12" xfId="0" applyNumberFormat="1" applyFont="1" applyBorder="1" applyAlignment="1">
      <alignment horizontal="right" vertical="top"/>
    </xf>
    <xf numFmtId="3" fontId="13" fillId="0" borderId="0" xfId="0" applyNumberFormat="1" applyFont="1" applyBorder="1" applyAlignment="1">
      <alignment horizontal="right" vertical="top"/>
    </xf>
    <xf numFmtId="3" fontId="13" fillId="0" borderId="5" xfId="0" applyNumberFormat="1" applyFont="1" applyBorder="1" applyAlignment="1">
      <alignment horizontal="right" vertical="top"/>
    </xf>
    <xf numFmtId="0" fontId="13" fillId="0" borderId="0" xfId="0" applyFont="1" applyAlignment="1">
      <alignment horizontal="right" vertical="top"/>
    </xf>
    <xf numFmtId="0" fontId="13" fillId="0" borderId="0" xfId="0" applyFont="1" applyBorder="1" applyAlignment="1">
      <alignment horizontal="right" vertical="top"/>
    </xf>
    <xf numFmtId="0" fontId="13" fillId="0" borderId="5" xfId="0" applyFont="1" applyBorder="1" applyAlignment="1">
      <alignment horizontal="right" vertical="top"/>
    </xf>
    <xf numFmtId="164" fontId="13" fillId="0" borderId="0" xfId="1" applyNumberFormat="1" applyFont="1" applyBorder="1" applyAlignment="1">
      <alignment horizontal="right" vertical="top"/>
    </xf>
    <xf numFmtId="164" fontId="13" fillId="0" borderId="5" xfId="1" applyNumberFormat="1" applyFont="1" applyBorder="1" applyAlignment="1">
      <alignment horizontal="right" vertical="top"/>
    </xf>
    <xf numFmtId="0" fontId="6" fillId="0" borderId="9" xfId="0" applyFont="1" applyBorder="1" applyAlignment="1">
      <alignment horizontal="center" wrapText="1"/>
    </xf>
    <xf numFmtId="10" fontId="5" fillId="0" borderId="5" xfId="0" applyNumberFormat="1" applyFont="1" applyBorder="1"/>
    <xf numFmtId="0" fontId="2" fillId="2" borderId="0" xfId="0" applyFont="1" applyFill="1" applyAlignment="1">
      <alignment horizontal="center"/>
    </xf>
    <xf numFmtId="0" fontId="3" fillId="2" borderId="0" xfId="0" applyFont="1" applyFill="1" applyAlignment="1">
      <alignment horizontal="center"/>
    </xf>
    <xf numFmtId="0" fontId="16" fillId="2" borderId="0" xfId="0" applyFont="1" applyFill="1" applyAlignment="1">
      <alignment horizontal="center"/>
    </xf>
    <xf numFmtId="0" fontId="6" fillId="0" borderId="1" xfId="0" applyFont="1" applyBorder="1" applyAlignment="1">
      <alignment horizontal="right"/>
    </xf>
    <xf numFmtId="0" fontId="5" fillId="0" borderId="1" xfId="0" applyFont="1" applyBorder="1" applyAlignment="1">
      <alignment horizontal="right"/>
    </xf>
    <xf numFmtId="169" fontId="28" fillId="0" borderId="1" xfId="3" applyNumberFormat="1" applyFont="1" applyFill="1" applyBorder="1" applyAlignment="1">
      <alignment horizontal="right"/>
    </xf>
    <xf numFmtId="169" fontId="28" fillId="0" borderId="12" xfId="3" applyNumberFormat="1" applyFont="1" applyFill="1" applyBorder="1" applyAlignment="1">
      <alignment horizontal="right"/>
    </xf>
    <xf numFmtId="4" fontId="5" fillId="0" borderId="0" xfId="0" applyNumberFormat="1" applyFont="1" applyFill="1" applyAlignment="1"/>
    <xf numFmtId="2" fontId="5" fillId="0" borderId="0" xfId="0" applyNumberFormat="1" applyFont="1" applyFill="1" applyAlignment="1">
      <alignment wrapText="1"/>
    </xf>
    <xf numFmtId="164" fontId="5" fillId="0" borderId="0" xfId="1" applyNumberFormat="1" applyFont="1" applyFill="1" applyAlignment="1">
      <alignment wrapText="1"/>
    </xf>
    <xf numFmtId="164" fontId="5" fillId="0" borderId="16" xfId="1" applyNumberFormat="1" applyFont="1" applyFill="1" applyBorder="1" applyAlignment="1">
      <alignment wrapText="1"/>
    </xf>
    <xf numFmtId="164" fontId="5" fillId="0" borderId="0" xfId="1" applyNumberFormat="1" applyFont="1" applyFill="1" applyBorder="1" applyAlignment="1">
      <alignment wrapText="1"/>
    </xf>
    <xf numFmtId="164" fontId="5" fillId="0" borderId="5" xfId="1" applyNumberFormat="1" applyFont="1" applyFill="1" applyBorder="1" applyAlignment="1">
      <alignment wrapText="1"/>
    </xf>
    <xf numFmtId="164" fontId="5" fillId="0" borderId="0" xfId="1" applyNumberFormat="1" applyFont="1" applyFill="1" applyAlignment="1"/>
    <xf numFmtId="0" fontId="13" fillId="0" borderId="0" xfId="0" applyFont="1" applyAlignment="1">
      <alignment vertical="top"/>
    </xf>
    <xf numFmtId="0" fontId="13" fillId="0" borderId="0" xfId="0" applyFont="1" applyFill="1" applyBorder="1" applyAlignment="1">
      <alignment horizontal="left" vertical="top" wrapText="1"/>
    </xf>
    <xf numFmtId="0" fontId="29" fillId="0" borderId="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31" xfId="0" applyFont="1" applyFill="1" applyBorder="1" applyAlignment="1">
      <alignment horizontal="center" vertical="center" wrapText="1"/>
    </xf>
    <xf numFmtId="164" fontId="13" fillId="0" borderId="16" xfId="1" applyNumberFormat="1" applyFont="1" applyBorder="1"/>
    <xf numFmtId="164" fontId="13" fillId="0" borderId="0" xfId="1" applyNumberFormat="1" applyFont="1" applyBorder="1"/>
    <xf numFmtId="0" fontId="13" fillId="0" borderId="5" xfId="0" applyFont="1" applyBorder="1"/>
    <xf numFmtId="0" fontId="13" fillId="0" borderId="0" xfId="0" applyFont="1"/>
    <xf numFmtId="0" fontId="29" fillId="0" borderId="17" xfId="0" applyFont="1" applyFill="1" applyBorder="1" applyAlignment="1">
      <alignment horizontal="center" vertical="center" wrapText="1"/>
    </xf>
    <xf numFmtId="0" fontId="6" fillId="0" borderId="0" xfId="0" applyFont="1" applyBorder="1" applyAlignment="1">
      <alignment horizontal="center" wrapText="1"/>
    </xf>
    <xf numFmtId="164" fontId="5" fillId="0" borderId="0" xfId="1" applyNumberFormat="1" applyFont="1" applyBorder="1"/>
    <xf numFmtId="164" fontId="5" fillId="0" borderId="0" xfId="1" applyNumberFormat="1" applyFont="1" applyFill="1" applyBorder="1"/>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3" fontId="6" fillId="0" borderId="0" xfId="0" applyNumberFormat="1" applyFont="1" applyBorder="1" applyAlignment="1">
      <alignment horizontal="center" vertical="top" wrapText="1"/>
    </xf>
    <xf numFmtId="3" fontId="5" fillId="0" borderId="0" xfId="0" applyNumberFormat="1" applyFont="1" applyBorder="1" applyAlignment="1">
      <alignment horizontal="right" wrapText="1"/>
    </xf>
    <xf numFmtId="3" fontId="5" fillId="0" borderId="12" xfId="0" applyNumberFormat="1" applyFont="1" applyBorder="1" applyAlignment="1">
      <alignment horizontal="right" wrapText="1"/>
    </xf>
    <xf numFmtId="3" fontId="5" fillId="0" borderId="1" xfId="0" applyNumberFormat="1" applyFont="1" applyBorder="1" applyAlignment="1">
      <alignment horizontal="right" wrapText="1"/>
    </xf>
    <xf numFmtId="3" fontId="5" fillId="0" borderId="5" xfId="0" applyNumberFormat="1" applyFont="1" applyBorder="1" applyAlignment="1">
      <alignment horizontal="right" wrapText="1"/>
    </xf>
    <xf numFmtId="3" fontId="6" fillId="0" borderId="0" xfId="0" applyNumberFormat="1" applyFont="1" applyBorder="1" applyAlignment="1">
      <alignment horizontal="right" wrapText="1"/>
    </xf>
    <xf numFmtId="3" fontId="6" fillId="0" borderId="5" xfId="0" applyNumberFormat="1" applyFont="1" applyBorder="1" applyAlignment="1">
      <alignment horizontal="right" wrapText="1"/>
    </xf>
    <xf numFmtId="0" fontId="6" fillId="0" borderId="0" xfId="0" applyFont="1" applyBorder="1" applyAlignment="1">
      <alignment horizontal="right" wrapText="1"/>
    </xf>
    <xf numFmtId="0" fontId="6" fillId="0" borderId="5" xfId="0" applyFont="1" applyBorder="1" applyAlignment="1">
      <alignment horizontal="right" wrapText="1"/>
    </xf>
    <xf numFmtId="3" fontId="5" fillId="0" borderId="0" xfId="0" applyNumberFormat="1" applyFont="1"/>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7" xfId="0" applyFont="1" applyFill="1" applyBorder="1" applyAlignment="1">
      <alignment horizontal="center" vertical="center" wrapText="1"/>
    </xf>
    <xf numFmtId="164" fontId="5" fillId="0" borderId="5" xfId="1" applyNumberFormat="1" applyFont="1" applyBorder="1"/>
    <xf numFmtId="164" fontId="5" fillId="0" borderId="5" xfId="1" applyNumberFormat="1" applyFont="1" applyFill="1" applyBorder="1"/>
    <xf numFmtId="164" fontId="5" fillId="0" borderId="12" xfId="1" applyNumberFormat="1" applyFont="1" applyBorder="1"/>
    <xf numFmtId="0" fontId="5" fillId="0" borderId="12" xfId="0" applyFont="1" applyBorder="1" applyAlignment="1">
      <alignment horizontal="right"/>
    </xf>
    <xf numFmtId="0" fontId="5" fillId="0" borderId="5" xfId="0" applyFont="1" applyBorder="1" applyAlignment="1">
      <alignment horizontal="right"/>
    </xf>
    <xf numFmtId="0" fontId="6" fillId="0" borderId="0" xfId="0" applyFont="1" applyFill="1" applyBorder="1" applyAlignment="1">
      <alignment horizontal="center" vertical="top" wrapText="1"/>
    </xf>
    <xf numFmtId="3" fontId="5" fillId="0" borderId="5" xfId="0" applyNumberFormat="1" applyFont="1" applyBorder="1" applyAlignment="1">
      <alignment horizontal="right"/>
    </xf>
    <xf numFmtId="3" fontId="5" fillId="0" borderId="12" xfId="0" applyNumberFormat="1" applyFont="1" applyBorder="1" applyAlignment="1">
      <alignment horizontal="right"/>
    </xf>
    <xf numFmtId="164" fontId="5" fillId="0" borderId="12" xfId="1" applyNumberFormat="1" applyFont="1" applyFill="1" applyBorder="1"/>
    <xf numFmtId="0" fontId="5" fillId="0" borderId="0" xfId="0" applyFont="1" applyFill="1" applyBorder="1" applyAlignment="1">
      <alignment horizontal="center" vertical="top" wrapText="1"/>
    </xf>
    <xf numFmtId="0" fontId="0" fillId="0" borderId="0" xfId="0" applyAlignment="1">
      <alignment horizontal="center"/>
    </xf>
    <xf numFmtId="164" fontId="5" fillId="0" borderId="0" xfId="1" applyNumberFormat="1" applyFont="1" applyFill="1" applyBorder="1" applyAlignment="1"/>
    <xf numFmtId="0" fontId="5" fillId="0" borderId="0" xfId="0" applyFont="1" applyBorder="1" applyAlignment="1">
      <alignment horizontal="center" wrapText="1"/>
    </xf>
    <xf numFmtId="3" fontId="5" fillId="0" borderId="12" xfId="0" applyNumberFormat="1" applyFont="1" applyBorder="1" applyAlignment="1">
      <alignment horizontal="center" wrapText="1"/>
    </xf>
    <xf numFmtId="0" fontId="5" fillId="0" borderId="12" xfId="0" applyFont="1" applyBorder="1" applyAlignment="1">
      <alignment horizontal="center" wrapText="1"/>
    </xf>
    <xf numFmtId="0" fontId="5" fillId="0" borderId="0" xfId="0" applyFont="1" applyFill="1" applyBorder="1" applyAlignment="1">
      <alignment horizontal="right" vertical="top"/>
    </xf>
    <xf numFmtId="0" fontId="5" fillId="0" borderId="5" xfId="0" applyFont="1" applyFill="1" applyBorder="1" applyAlignment="1">
      <alignment wrapText="1"/>
    </xf>
    <xf numFmtId="2" fontId="5" fillId="0" borderId="12" xfId="0" applyNumberFormat="1" applyFont="1" applyFill="1" applyBorder="1" applyAlignment="1">
      <alignment wrapText="1"/>
    </xf>
    <xf numFmtId="2" fontId="5" fillId="0" borderId="5" xfId="0" applyNumberFormat="1" applyFont="1" applyFill="1" applyBorder="1" applyAlignment="1">
      <alignment wrapText="1"/>
    </xf>
    <xf numFmtId="166" fontId="5" fillId="0" borderId="0" xfId="0" applyNumberFormat="1" applyFont="1" applyFill="1" applyAlignment="1">
      <alignment wrapText="1"/>
    </xf>
    <xf numFmtId="166" fontId="5" fillId="0" borderId="12" xfId="0" applyNumberFormat="1" applyFont="1" applyFill="1" applyBorder="1" applyAlignment="1">
      <alignment wrapText="1"/>
    </xf>
    <xf numFmtId="166" fontId="5" fillId="0" borderId="5" xfId="0" applyNumberFormat="1" applyFont="1" applyFill="1" applyBorder="1" applyAlignment="1">
      <alignment wrapText="1"/>
    </xf>
    <xf numFmtId="166" fontId="0" fillId="0" borderId="0" xfId="0" applyNumberFormat="1" applyFont="1" applyBorder="1"/>
    <xf numFmtId="166" fontId="0" fillId="0" borderId="5" xfId="0" applyNumberFormat="1" applyFont="1" applyBorder="1"/>
    <xf numFmtId="4" fontId="5" fillId="0" borderId="0" xfId="0" applyNumberFormat="1" applyFont="1" applyFill="1" applyAlignment="1">
      <alignment wrapText="1"/>
    </xf>
    <xf numFmtId="4" fontId="5" fillId="0" borderId="12" xfId="0" applyNumberFormat="1" applyFont="1" applyFill="1" applyBorder="1" applyAlignment="1"/>
    <xf numFmtId="4" fontId="5" fillId="0" borderId="5" xfId="0" applyNumberFormat="1" applyFont="1" applyFill="1" applyBorder="1" applyAlignment="1"/>
    <xf numFmtId="0" fontId="6" fillId="0" borderId="3" xfId="0" applyFont="1" applyBorder="1"/>
    <xf numFmtId="2" fontId="5" fillId="0" borderId="7" xfId="0" applyNumberFormat="1" applyFont="1" applyFill="1" applyBorder="1" applyAlignment="1">
      <alignment wrapText="1"/>
    </xf>
    <xf numFmtId="0" fontId="15" fillId="0" borderId="0" xfId="0" applyFont="1" applyFill="1" applyBorder="1" applyAlignment="1">
      <alignment horizontal="center" vertical="top" wrapText="1"/>
    </xf>
    <xf numFmtId="0" fontId="5" fillId="4" borderId="3" xfId="0" applyFont="1" applyFill="1" applyBorder="1" applyAlignment="1">
      <alignment vertical="top"/>
    </xf>
    <xf numFmtId="0" fontId="5" fillId="4" borderId="0" xfId="0" applyFont="1" applyFill="1" applyBorder="1" applyAlignment="1">
      <alignment vertical="top" wrapText="1"/>
    </xf>
    <xf numFmtId="0" fontId="5" fillId="4" borderId="0" xfId="0" applyFont="1" applyFill="1" applyBorder="1" applyAlignment="1">
      <alignment vertical="top"/>
    </xf>
    <xf numFmtId="0" fontId="18" fillId="4" borderId="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5" fillId="4" borderId="5" xfId="0" applyFont="1" applyFill="1" applyBorder="1" applyAlignment="1">
      <alignment vertical="top"/>
    </xf>
    <xf numFmtId="0" fontId="5" fillId="4" borderId="0" xfId="0" applyFont="1" applyFill="1"/>
    <xf numFmtId="0" fontId="5" fillId="4" borderId="0" xfId="0" applyFont="1" applyFill="1" applyBorder="1"/>
    <xf numFmtId="0" fontId="5" fillId="4" borderId="5" xfId="0" applyFont="1" applyFill="1" applyBorder="1"/>
    <xf numFmtId="0" fontId="5" fillId="4" borderId="0" xfId="0" applyFont="1" applyFill="1" applyBorder="1" applyAlignment="1">
      <alignment horizontal="right" vertical="top"/>
    </xf>
    <xf numFmtId="0" fontId="5" fillId="4" borderId="5" xfId="0" applyFont="1" applyFill="1" applyBorder="1" applyAlignment="1">
      <alignment horizontal="right" vertical="top"/>
    </xf>
    <xf numFmtId="0" fontId="5" fillId="4" borderId="0" xfId="0" applyFont="1" applyFill="1" applyAlignment="1">
      <alignment vertical="top"/>
    </xf>
    <xf numFmtId="0" fontId="5" fillId="4" borderId="0" xfId="0" applyFont="1" applyFill="1" applyAlignment="1">
      <alignment horizontal="left" vertical="top"/>
    </xf>
    <xf numFmtId="0" fontId="5" fillId="4" borderId="0" xfId="0" applyFont="1" applyFill="1" applyAlignment="1">
      <alignment horizontal="left" vertical="top" wrapText="1"/>
    </xf>
    <xf numFmtId="0" fontId="5" fillId="4" borderId="16" xfId="0" applyFont="1" applyFill="1" applyBorder="1"/>
    <xf numFmtId="0" fontId="5" fillId="4" borderId="3" xfId="0" applyFont="1" applyFill="1" applyBorder="1" applyAlignment="1">
      <alignment horizontal="left" vertical="top"/>
    </xf>
    <xf numFmtId="0" fontId="5" fillId="4" borderId="0" xfId="0" applyFont="1" applyFill="1" applyBorder="1" applyAlignment="1">
      <alignment horizontal="left" vertical="top"/>
    </xf>
    <xf numFmtId="0" fontId="5" fillId="4" borderId="0" xfId="0" applyFont="1" applyFill="1" applyBorder="1" applyAlignment="1">
      <alignment horizontal="left" vertical="top" wrapText="1"/>
    </xf>
    <xf numFmtId="0" fontId="0" fillId="4" borderId="0" xfId="0" applyFill="1" applyBorder="1"/>
    <xf numFmtId="0" fontId="0" fillId="4" borderId="5" xfId="0" applyFill="1" applyBorder="1"/>
    <xf numFmtId="0" fontId="0" fillId="4" borderId="0" xfId="0" applyFill="1"/>
    <xf numFmtId="0" fontId="7" fillId="4" borderId="0" xfId="0" applyFont="1" applyFill="1" applyBorder="1" applyAlignment="1">
      <alignment horizontal="left" vertical="top"/>
    </xf>
    <xf numFmtId="0" fontId="7" fillId="4" borderId="0" xfId="0" applyFont="1" applyFill="1" applyBorder="1" applyAlignment="1">
      <alignment horizontal="left" vertical="top" wrapText="1"/>
    </xf>
    <xf numFmtId="0" fontId="13" fillId="0" borderId="3" xfId="0" applyFont="1" applyFill="1" applyBorder="1" applyAlignment="1">
      <alignment horizontal="left" vertical="top"/>
    </xf>
    <xf numFmtId="0" fontId="13" fillId="0" borderId="0" xfId="0" applyFont="1" applyFill="1" applyBorder="1" applyAlignment="1">
      <alignment horizontal="left" vertical="top"/>
    </xf>
    <xf numFmtId="0" fontId="30" fillId="0" borderId="0" xfId="0" applyFont="1" applyFill="1" applyBorder="1"/>
    <xf numFmtId="0" fontId="30" fillId="0" borderId="5" xfId="0" applyFont="1" applyFill="1" applyBorder="1"/>
    <xf numFmtId="0" fontId="30" fillId="0" borderId="0" xfId="0" applyFont="1" applyFill="1"/>
    <xf numFmtId="0" fontId="5" fillId="4" borderId="3" xfId="0" applyFont="1" applyFill="1" applyBorder="1" applyAlignment="1">
      <alignment horizontal="center" vertical="top"/>
    </xf>
    <xf numFmtId="0" fontId="7" fillId="4" borderId="0" xfId="0" applyFont="1" applyFill="1" applyBorder="1" applyAlignment="1">
      <alignment vertical="top" wrapText="1"/>
    </xf>
    <xf numFmtId="0" fontId="0" fillId="4" borderId="0" xfId="0" applyFont="1" applyFill="1" applyBorder="1"/>
    <xf numFmtId="0" fontId="0" fillId="4" borderId="5" xfId="0" applyFont="1" applyFill="1" applyBorder="1"/>
    <xf numFmtId="0" fontId="0" fillId="4" borderId="0" xfId="0" applyFont="1" applyFill="1"/>
    <xf numFmtId="0" fontId="19" fillId="4" borderId="0"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7" fillId="4" borderId="0" xfId="0" applyFont="1" applyFill="1" applyBorder="1" applyAlignment="1">
      <alignment vertical="top"/>
    </xf>
    <xf numFmtId="0" fontId="0" fillId="4" borderId="3" xfId="0" applyFont="1" applyFill="1" applyBorder="1"/>
    <xf numFmtId="0" fontId="8" fillId="4" borderId="3" xfId="0" applyFont="1" applyFill="1" applyBorder="1"/>
    <xf numFmtId="0" fontId="8" fillId="4" borderId="0" xfId="0" applyFont="1" applyFill="1" applyBorder="1"/>
    <xf numFmtId="0" fontId="8" fillId="4" borderId="5" xfId="0" applyFont="1" applyFill="1" applyBorder="1"/>
    <xf numFmtId="0" fontId="5" fillId="4" borderId="3" xfId="0" applyFont="1" applyFill="1" applyBorder="1"/>
    <xf numFmtId="0" fontId="5" fillId="4" borderId="0" xfId="0" applyFont="1" applyFill="1" applyAlignment="1"/>
    <xf numFmtId="3" fontId="13" fillId="0" borderId="5" xfId="0" applyNumberFormat="1" applyFont="1" applyBorder="1"/>
    <xf numFmtId="0" fontId="5" fillId="0" borderId="44" xfId="0" applyFont="1" applyBorder="1"/>
    <xf numFmtId="3" fontId="13" fillId="0" borderId="44" xfId="0" applyNumberFormat="1" applyFont="1" applyBorder="1"/>
    <xf numFmtId="0" fontId="13" fillId="0" borderId="44" xfId="0" applyFont="1" applyBorder="1"/>
    <xf numFmtId="3" fontId="13" fillId="0" borderId="33" xfId="0" applyNumberFormat="1" applyFont="1" applyBorder="1"/>
    <xf numFmtId="168" fontId="5" fillId="0" borderId="44" xfId="0" applyNumberFormat="1" applyFont="1" applyBorder="1"/>
    <xf numFmtId="0" fontId="5" fillId="0" borderId="33" xfId="0" applyFont="1" applyBorder="1"/>
    <xf numFmtId="168" fontId="5" fillId="0" borderId="33" xfId="0" applyNumberFormat="1" applyFont="1" applyBorder="1"/>
    <xf numFmtId="0" fontId="5" fillId="0" borderId="3" xfId="0" applyFont="1" applyFill="1" applyBorder="1" applyAlignment="1">
      <alignment vertical="top"/>
    </xf>
    <xf numFmtId="0" fontId="18" fillId="0" borderId="0" xfId="0" applyFont="1" applyBorder="1" applyAlignment="1">
      <alignment horizontal="right" vertical="center"/>
    </xf>
    <xf numFmtId="0" fontId="5" fillId="0" borderId="0" xfId="0" applyFont="1" applyAlignment="1">
      <alignment horizontal="right"/>
    </xf>
    <xf numFmtId="0" fontId="18" fillId="0" borderId="17" xfId="0" applyFont="1" applyBorder="1" applyAlignment="1">
      <alignment horizontal="center" vertical="center"/>
    </xf>
    <xf numFmtId="0" fontId="18" fillId="0" borderId="17" xfId="0" applyFont="1" applyBorder="1" applyAlignment="1">
      <alignment horizontal="right" vertical="center"/>
    </xf>
    <xf numFmtId="0" fontId="6" fillId="0" borderId="5" xfId="0" applyFont="1" applyBorder="1"/>
    <xf numFmtId="10" fontId="5" fillId="0" borderId="0" xfId="0" applyNumberFormat="1" applyFont="1"/>
    <xf numFmtId="0" fontId="31" fillId="0" borderId="0" xfId="0" applyFont="1" applyFill="1" applyBorder="1" applyAlignment="1">
      <alignment horizontal="right" vertical="center"/>
    </xf>
    <xf numFmtId="0" fontId="18" fillId="0" borderId="16" xfId="0" applyFont="1" applyBorder="1" applyAlignment="1">
      <alignment horizontal="center" vertical="center"/>
    </xf>
    <xf numFmtId="0" fontId="18" fillId="0" borderId="16" xfId="0" applyFont="1" applyBorder="1" applyAlignment="1">
      <alignment horizontal="right" vertical="center"/>
    </xf>
    <xf numFmtId="2" fontId="5" fillId="0" borderId="11" xfId="0" applyNumberFormat="1" applyFont="1" applyFill="1" applyBorder="1" applyAlignment="1">
      <alignment wrapText="1"/>
    </xf>
    <xf numFmtId="2" fontId="5" fillId="0" borderId="1" xfId="0" applyNumberFormat="1" applyFont="1" applyFill="1" applyBorder="1" applyAlignment="1">
      <alignment wrapText="1"/>
    </xf>
    <xf numFmtId="2" fontId="5" fillId="0" borderId="3" xfId="0" applyNumberFormat="1" applyFont="1" applyFill="1" applyBorder="1" applyAlignment="1">
      <alignment wrapText="1"/>
    </xf>
    <xf numFmtId="2" fontId="5" fillId="0" borderId="0" xfId="0" applyNumberFormat="1" applyFont="1" applyFill="1" applyBorder="1" applyAlignment="1">
      <alignment wrapText="1"/>
    </xf>
    <xf numFmtId="2" fontId="5" fillId="0" borderId="6" xfId="0" applyNumberFormat="1" applyFont="1" applyFill="1" applyBorder="1" applyAlignment="1">
      <alignment wrapText="1"/>
    </xf>
    <xf numFmtId="2" fontId="5" fillId="0" borderId="2" xfId="0" applyNumberFormat="1" applyFont="1" applyFill="1" applyBorder="1" applyAlignment="1">
      <alignment wrapText="1"/>
    </xf>
    <xf numFmtId="0" fontId="5" fillId="0" borderId="5" xfId="0" applyFont="1" applyFill="1" applyBorder="1" applyAlignment="1">
      <alignment horizontal="left" vertical="top" wrapText="1"/>
    </xf>
    <xf numFmtId="9" fontId="5" fillId="0" borderId="0" xfId="2" applyFont="1"/>
    <xf numFmtId="9" fontId="5" fillId="0" borderId="0" xfId="2" applyFont="1" applyBorder="1" applyAlignment="1">
      <alignment vertical="center" wrapText="1"/>
    </xf>
    <xf numFmtId="43" fontId="5" fillId="0" borderId="0" xfId="1" applyNumberFormat="1" applyFont="1" applyBorder="1"/>
    <xf numFmtId="43" fontId="5" fillId="0" borderId="0" xfId="1" applyNumberFormat="1" applyFont="1" applyFill="1" applyBorder="1"/>
    <xf numFmtId="43" fontId="5" fillId="0" borderId="0" xfId="1" applyNumberFormat="1" applyFont="1" applyBorder="1" applyAlignment="1">
      <alignment horizontal="right"/>
    </xf>
    <xf numFmtId="0" fontId="5" fillId="0" borderId="0" xfId="0" applyNumberFormat="1" applyFont="1" applyBorder="1"/>
    <xf numFmtId="43" fontId="32" fillId="0" borderId="0" xfId="1" applyFont="1" applyFill="1" applyBorder="1"/>
    <xf numFmtId="43" fontId="32" fillId="0" borderId="0" xfId="1" applyFont="1" applyFill="1" applyBorder="1" applyAlignment="1">
      <alignment horizontal="right" vertical="center"/>
    </xf>
    <xf numFmtId="0" fontId="0" fillId="0" borderId="0" xfId="0" applyFill="1"/>
    <xf numFmtId="0" fontId="5" fillId="0" borderId="0" xfId="0" applyFont="1" applyFill="1" applyAlignment="1">
      <alignment horizontal="right" vertical="top"/>
    </xf>
    <xf numFmtId="0" fontId="25" fillId="0" borderId="0" xfId="0" applyFont="1" applyFill="1" applyBorder="1" applyAlignment="1">
      <alignment wrapText="1"/>
    </xf>
    <xf numFmtId="0" fontId="25" fillId="0" borderId="20" xfId="0" applyFont="1" applyFill="1" applyBorder="1" applyAlignment="1">
      <alignment horizontal="center" wrapText="1"/>
    </xf>
    <xf numFmtId="0" fontId="25" fillId="0" borderId="9" xfId="0" applyFont="1" applyFill="1" applyBorder="1" applyAlignment="1">
      <alignment horizontal="center" wrapText="1"/>
    </xf>
    <xf numFmtId="0" fontId="25" fillId="0" borderId="10" xfId="0" applyFont="1" applyFill="1" applyBorder="1" applyAlignment="1">
      <alignment horizontal="center" wrapText="1"/>
    </xf>
    <xf numFmtId="0" fontId="0" fillId="0" borderId="5" xfId="0" applyFill="1" applyBorder="1"/>
    <xf numFmtId="0" fontId="25" fillId="0" borderId="5" xfId="0" applyFont="1" applyFill="1" applyBorder="1" applyAlignment="1">
      <alignment wrapText="1"/>
    </xf>
    <xf numFmtId="0" fontId="5" fillId="0" borderId="5" xfId="0" applyFont="1" applyFill="1" applyBorder="1"/>
    <xf numFmtId="0" fontId="6" fillId="0" borderId="0" xfId="0" applyFont="1" applyFill="1" applyBorder="1" applyAlignment="1">
      <alignment wrapText="1"/>
    </xf>
    <xf numFmtId="0" fontId="6" fillId="0" borderId="5" xfId="0" applyFont="1" applyFill="1" applyBorder="1" applyAlignment="1">
      <alignment wrapText="1"/>
    </xf>
    <xf numFmtId="164" fontId="5" fillId="0" borderId="0" xfId="1" applyNumberFormat="1" applyFont="1" applyFill="1"/>
    <xf numFmtId="6" fontId="5" fillId="0" borderId="9" xfId="0" applyNumberFormat="1" applyFont="1" applyBorder="1"/>
    <xf numFmtId="0" fontId="5" fillId="0" borderId="9" xfId="0" applyFont="1" applyBorder="1" applyAlignment="1">
      <alignment horizontal="center"/>
    </xf>
    <xf numFmtId="3" fontId="5" fillId="0" borderId="9" xfId="0" applyNumberFormat="1" applyFont="1" applyBorder="1"/>
    <xf numFmtId="3" fontId="5" fillId="0" borderId="10" xfId="0" applyNumberFormat="1" applyFont="1" applyBorder="1"/>
    <xf numFmtId="0" fontId="6" fillId="0" borderId="20" xfId="0" applyFont="1" applyFill="1" applyBorder="1" applyAlignment="1">
      <alignment horizontal="center"/>
    </xf>
    <xf numFmtId="0" fontId="6" fillId="0" borderId="9" xfId="0" applyFont="1" applyFill="1" applyBorder="1" applyAlignment="1">
      <alignment horizontal="center"/>
    </xf>
    <xf numFmtId="43" fontId="5" fillId="0" borderId="16" xfId="1" applyFont="1" applyFill="1" applyBorder="1"/>
    <xf numFmtId="43" fontId="5" fillId="0" borderId="0" xfId="1" applyFont="1" applyFill="1" applyBorder="1"/>
    <xf numFmtId="43" fontId="5" fillId="0" borderId="0" xfId="1" applyFont="1" applyBorder="1" applyAlignment="1">
      <alignment horizontal="right"/>
    </xf>
    <xf numFmtId="0" fontId="5" fillId="0" borderId="0" xfId="1" applyNumberFormat="1" applyFont="1" applyBorder="1"/>
    <xf numFmtId="0" fontId="6" fillId="0" borderId="0" xfId="0" applyFont="1" applyFill="1" applyBorder="1" applyAlignment="1">
      <alignment horizontal="center"/>
    </xf>
    <xf numFmtId="3" fontId="6" fillId="0" borderId="0" xfId="0" applyNumberFormat="1" applyFont="1" applyFill="1" applyBorder="1" applyAlignment="1">
      <alignment horizontal="center" wrapText="1"/>
    </xf>
    <xf numFmtId="0" fontId="34" fillId="0" borderId="0" xfId="0" applyFont="1" applyFill="1" applyBorder="1" applyAlignment="1">
      <alignment horizontal="center"/>
    </xf>
    <xf numFmtId="0" fontId="5" fillId="0" borderId="0" xfId="0" applyFont="1" applyFill="1" applyBorder="1" applyAlignment="1">
      <alignment horizontal="right" wrapText="1"/>
    </xf>
    <xf numFmtId="164" fontId="5" fillId="0" borderId="0" xfId="1" applyNumberFormat="1" applyFont="1" applyFill="1" applyBorder="1" applyAlignment="1">
      <alignment horizontal="right"/>
    </xf>
    <xf numFmtId="0" fontId="33" fillId="0" borderId="0" xfId="0" applyFont="1" applyFill="1" applyBorder="1"/>
    <xf numFmtId="164" fontId="35" fillId="0" borderId="0" xfId="1" applyNumberFormat="1" applyFont="1" applyFill="1" applyBorder="1" applyAlignment="1">
      <alignment horizontal="left" vertical="top"/>
    </xf>
    <xf numFmtId="164" fontId="35" fillId="0" borderId="0" xfId="1" applyNumberFormat="1" applyFont="1" applyFill="1" applyBorder="1"/>
    <xf numFmtId="3" fontId="35" fillId="0" borderId="0" xfId="0" applyNumberFormat="1" applyFont="1" applyFill="1" applyBorder="1"/>
    <xf numFmtId="166" fontId="5" fillId="0" borderId="3" xfId="0" applyNumberFormat="1" applyFont="1" applyBorder="1" applyAlignment="1">
      <alignment vertical="top"/>
    </xf>
    <xf numFmtId="166" fontId="5" fillId="0" borderId="0" xfId="0" applyNumberFormat="1" applyFont="1" applyFill="1" applyBorder="1" applyAlignment="1">
      <alignment horizontal="left" vertical="top" wrapText="1"/>
    </xf>
    <xf numFmtId="166" fontId="18" fillId="0" borderId="0" xfId="0" applyNumberFormat="1" applyFont="1" applyFill="1" applyBorder="1" applyAlignment="1">
      <alignment horizontal="center" vertical="center" wrapText="1"/>
    </xf>
    <xf numFmtId="166" fontId="18" fillId="0" borderId="16" xfId="0" applyNumberFormat="1" applyFont="1" applyFill="1" applyBorder="1" applyAlignment="1">
      <alignment horizontal="center" vertical="center" wrapText="1"/>
    </xf>
    <xf numFmtId="166" fontId="18" fillId="0" borderId="31" xfId="0" applyNumberFormat="1" applyFont="1" applyFill="1" applyBorder="1" applyAlignment="1">
      <alignment horizontal="center" vertical="center" wrapText="1"/>
    </xf>
    <xf numFmtId="166" fontId="18" fillId="0" borderId="17" xfId="0" applyNumberFormat="1" applyFont="1" applyFill="1" applyBorder="1" applyAlignment="1">
      <alignment horizontal="center" vertical="center" wrapText="1"/>
    </xf>
    <xf numFmtId="166" fontId="5" fillId="0" borderId="0" xfId="0" applyNumberFormat="1" applyFont="1" applyBorder="1" applyAlignment="1">
      <alignment horizontal="right"/>
    </xf>
    <xf numFmtId="166" fontId="5" fillId="0" borderId="12" xfId="0" applyNumberFormat="1" applyFont="1" applyBorder="1" applyAlignment="1">
      <alignment horizontal="right"/>
    </xf>
    <xf numFmtId="166" fontId="5" fillId="0" borderId="5" xfId="0" applyNumberFormat="1" applyFont="1" applyBorder="1" applyAlignment="1">
      <alignment horizontal="right"/>
    </xf>
    <xf numFmtId="166" fontId="0" fillId="0" borderId="0" xfId="0" applyNumberFormat="1" applyBorder="1"/>
    <xf numFmtId="166" fontId="0" fillId="0" borderId="0" xfId="0" applyNumberFormat="1"/>
    <xf numFmtId="164" fontId="5" fillId="0" borderId="0" xfId="1" applyNumberFormat="1" applyFont="1"/>
    <xf numFmtId="164" fontId="0" fillId="4" borderId="0" xfId="1" applyNumberFormat="1" applyFont="1" applyFill="1" applyBorder="1"/>
    <xf numFmtId="164" fontId="5" fillId="0" borderId="0" xfId="1" applyNumberFormat="1" applyFont="1" applyFill="1" applyBorder="1" applyAlignment="1">
      <alignment horizontal="right" wrapText="1"/>
    </xf>
    <xf numFmtId="0" fontId="25" fillId="0" borderId="0" xfId="0" applyFont="1" applyFill="1" applyBorder="1" applyAlignment="1">
      <alignment horizontal="center"/>
    </xf>
    <xf numFmtId="10" fontId="5" fillId="0" borderId="0" xfId="0" applyNumberFormat="1" applyFont="1" applyFill="1" applyBorder="1"/>
    <xf numFmtId="10" fontId="5" fillId="0" borderId="0" xfId="0" applyNumberFormat="1" applyFont="1" applyFill="1"/>
    <xf numFmtId="10" fontId="5" fillId="0" borderId="12" xfId="0" applyNumberFormat="1" applyFont="1" applyFill="1" applyBorder="1"/>
    <xf numFmtId="10" fontId="5" fillId="0" borderId="5" xfId="0" applyNumberFormat="1" applyFont="1" applyFill="1" applyBorder="1"/>
    <xf numFmtId="0" fontId="6" fillId="0" borderId="0" xfId="0" applyFont="1" applyFill="1" applyBorder="1" applyAlignment="1">
      <alignment horizontal="center"/>
    </xf>
    <xf numFmtId="0" fontId="5" fillId="0" borderId="3" xfId="0" applyFont="1" applyFill="1" applyBorder="1" applyAlignment="1">
      <alignment horizontal="left" vertical="top"/>
    </xf>
    <xf numFmtId="3" fontId="6" fillId="0" borderId="0" xfId="0" applyNumberFormat="1" applyFont="1" applyFill="1" applyBorder="1" applyAlignment="1">
      <alignment horizontal="center"/>
    </xf>
    <xf numFmtId="3" fontId="6" fillId="0" borderId="5" xfId="0" applyNumberFormat="1" applyFont="1" applyFill="1" applyBorder="1" applyAlignment="1">
      <alignment horizontal="center"/>
    </xf>
    <xf numFmtId="10" fontId="6" fillId="0" borderId="0" xfId="0" applyNumberFormat="1" applyFont="1" applyFill="1" applyBorder="1" applyAlignment="1">
      <alignment horizontal="center"/>
    </xf>
    <xf numFmtId="0" fontId="5" fillId="0" borderId="3" xfId="0" applyFont="1" applyFill="1" applyBorder="1" applyAlignment="1">
      <alignment horizontal="right" vertical="top"/>
    </xf>
    <xf numFmtId="0" fontId="5" fillId="0" borderId="0" xfId="0" applyFont="1" applyFill="1" applyBorder="1" applyAlignment="1">
      <alignment horizontal="right" vertical="top" wrapText="1"/>
    </xf>
    <xf numFmtId="0" fontId="18" fillId="0" borderId="0" xfId="0" applyFont="1" applyFill="1" applyBorder="1" applyAlignment="1">
      <alignment horizontal="right" vertical="center" wrapText="1"/>
    </xf>
    <xf numFmtId="0" fontId="18" fillId="0" borderId="16" xfId="0" applyFont="1" applyFill="1" applyBorder="1" applyAlignment="1">
      <alignment horizontal="right" vertical="center" wrapText="1"/>
    </xf>
    <xf numFmtId="0" fontId="18" fillId="0" borderId="31" xfId="0" applyFont="1" applyFill="1" applyBorder="1" applyAlignment="1">
      <alignment horizontal="right" vertical="center" wrapText="1"/>
    </xf>
    <xf numFmtId="0" fontId="18" fillId="0" borderId="17" xfId="0" applyFont="1" applyFill="1" applyBorder="1" applyAlignment="1">
      <alignment horizontal="right" vertical="center" wrapText="1"/>
    </xf>
    <xf numFmtId="10" fontId="5" fillId="0" borderId="0" xfId="0" applyNumberFormat="1" applyFont="1" applyFill="1" applyBorder="1" applyAlignment="1">
      <alignment horizontal="right"/>
    </xf>
    <xf numFmtId="9" fontId="5" fillId="0" borderId="0" xfId="0" applyNumberFormat="1" applyFont="1" applyFill="1" applyBorder="1" applyAlignment="1">
      <alignment horizontal="right"/>
    </xf>
    <xf numFmtId="9" fontId="5" fillId="0" borderId="0" xfId="0" applyNumberFormat="1" applyFont="1" applyFill="1" applyAlignment="1">
      <alignment horizontal="right"/>
    </xf>
    <xf numFmtId="10" fontId="5" fillId="0" borderId="5" xfId="0" applyNumberFormat="1" applyFont="1" applyFill="1" applyBorder="1" applyAlignment="1">
      <alignment horizontal="right"/>
    </xf>
    <xf numFmtId="0" fontId="0" fillId="0" borderId="0" xfId="0" applyFont="1" applyFill="1" applyAlignment="1">
      <alignment horizontal="right"/>
    </xf>
    <xf numFmtId="3" fontId="5" fillId="0" borderId="5" xfId="0" applyNumberFormat="1" applyFont="1" applyFill="1" applyBorder="1" applyAlignment="1">
      <alignment horizontal="right"/>
    </xf>
    <xf numFmtId="0" fontId="5" fillId="4" borderId="5" xfId="0" applyFont="1" applyFill="1" applyBorder="1" applyAlignment="1">
      <alignment vertical="top" wrapText="1"/>
    </xf>
    <xf numFmtId="0" fontId="6" fillId="3" borderId="4" xfId="0" applyFont="1" applyFill="1" applyBorder="1" applyAlignment="1">
      <alignment horizontal="center" vertical="center" wrapText="1"/>
    </xf>
    <xf numFmtId="0" fontId="5" fillId="0" borderId="0" xfId="0" applyFont="1" applyFill="1" applyBorder="1" applyAlignment="1">
      <alignment horizontal="right"/>
    </xf>
    <xf numFmtId="0" fontId="5" fillId="0" borderId="5" xfId="0" applyFont="1" applyFill="1" applyBorder="1" applyAlignment="1">
      <alignment horizontal="right"/>
    </xf>
    <xf numFmtId="0" fontId="6" fillId="0" borderId="0" xfId="0" applyFont="1" applyFill="1" applyBorder="1" applyAlignment="1">
      <alignment horizontal="center"/>
    </xf>
    <xf numFmtId="0" fontId="25" fillId="0"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1" xfId="0" applyFont="1" applyFill="1" applyBorder="1" applyAlignment="1">
      <alignment vertical="top"/>
    </xf>
    <xf numFmtId="0" fontId="5" fillId="0" borderId="1" xfId="0" applyFont="1" applyFill="1" applyBorder="1" applyAlignment="1">
      <alignment vertical="top" wrapText="1"/>
    </xf>
    <xf numFmtId="0" fontId="6" fillId="0" borderId="1" xfId="0" applyFont="1" applyBorder="1" applyAlignment="1">
      <alignment horizontal="center" vertical="top" wrapText="1"/>
    </xf>
    <xf numFmtId="0" fontId="5" fillId="0" borderId="1" xfId="0" applyFont="1" applyBorder="1" applyAlignment="1">
      <alignment wrapText="1"/>
    </xf>
    <xf numFmtId="0" fontId="6" fillId="0" borderId="0" xfId="0" applyFont="1" applyFill="1" applyBorder="1" applyAlignment="1"/>
    <xf numFmtId="3" fontId="5" fillId="0" borderId="0" xfId="0" applyNumberFormat="1" applyFont="1" applyFill="1" applyBorder="1" applyAlignment="1">
      <alignment wrapText="1"/>
    </xf>
    <xf numFmtId="0" fontId="5" fillId="0" borderId="0" xfId="0" applyFont="1" applyFill="1" applyBorder="1" applyAlignment="1">
      <alignment horizontal="center" wrapText="1"/>
    </xf>
    <xf numFmtId="3" fontId="5" fillId="0" borderId="0" xfId="0" applyNumberFormat="1" applyFont="1" applyFill="1" applyBorder="1" applyAlignment="1">
      <alignment horizontal="center" wrapText="1"/>
    </xf>
    <xf numFmtId="3" fontId="5" fillId="0" borderId="0" xfId="0" applyNumberFormat="1" applyFont="1" applyFill="1" applyBorder="1" applyAlignment="1"/>
    <xf numFmtId="3" fontId="5" fillId="0" borderId="12" xfId="0" applyNumberFormat="1" applyFont="1" applyFill="1" applyBorder="1" applyAlignment="1"/>
    <xf numFmtId="0" fontId="13" fillId="0" borderId="0" xfId="0" applyFont="1" applyFill="1" applyAlignment="1">
      <alignment horizontal="left" vertical="top"/>
    </xf>
    <xf numFmtId="0" fontId="13" fillId="0" borderId="0" xfId="0" applyFont="1" applyFill="1" applyAlignment="1">
      <alignment horizontal="left" vertical="top" wrapText="1"/>
    </xf>
    <xf numFmtId="3" fontId="13" fillId="0" borderId="16" xfId="0" applyNumberFormat="1" applyFont="1" applyBorder="1"/>
    <xf numFmtId="1" fontId="38" fillId="0" borderId="11" xfId="8" applyNumberFormat="1" applyFont="1" applyBorder="1">
      <alignment horizontal="right"/>
    </xf>
    <xf numFmtId="1" fontId="38" fillId="0" borderId="12" xfId="8" applyNumberFormat="1" applyFont="1" applyBorder="1">
      <alignment horizontal="right"/>
    </xf>
    <xf numFmtId="1" fontId="38" fillId="0" borderId="3" xfId="8" applyNumberFormat="1" applyFont="1" applyBorder="1">
      <alignment horizontal="right"/>
    </xf>
    <xf numFmtId="1" fontId="38" fillId="0" borderId="5" xfId="8" applyNumberFormat="1" applyFont="1" applyBorder="1">
      <alignment horizontal="right"/>
    </xf>
    <xf numFmtId="0" fontId="5" fillId="0" borderId="3" xfId="0" applyFont="1" applyFill="1" applyBorder="1"/>
    <xf numFmtId="10" fontId="5" fillId="0" borderId="0" xfId="2" applyNumberFormat="1" applyFont="1"/>
    <xf numFmtId="10" fontId="7" fillId="0" borderId="0" xfId="3" applyNumberFormat="1" applyFont="1" applyBorder="1"/>
    <xf numFmtId="0" fontId="5" fillId="0" borderId="0" xfId="0" applyFont="1" applyFill="1" applyAlignment="1">
      <alignment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164" fontId="36" fillId="0" borderId="0" xfId="1" applyNumberFormat="1" applyFont="1" applyAlignment="1">
      <alignment horizontal="right"/>
    </xf>
    <xf numFmtId="164" fontId="36" fillId="0" borderId="0" xfId="1" applyNumberFormat="1" applyFont="1" applyBorder="1" applyAlignment="1">
      <alignment horizontal="right"/>
    </xf>
    <xf numFmtId="164" fontId="36" fillId="0" borderId="12" xfId="1" applyNumberFormat="1" applyFont="1" applyFill="1" applyBorder="1" applyAlignment="1">
      <alignment horizontal="right"/>
    </xf>
    <xf numFmtId="164" fontId="36" fillId="0" borderId="5" xfId="1" applyNumberFormat="1" applyFont="1" applyFill="1" applyBorder="1" applyAlignment="1">
      <alignment horizontal="right"/>
    </xf>
    <xf numFmtId="0" fontId="0" fillId="4" borderId="28" xfId="0" applyFill="1" applyBorder="1"/>
    <xf numFmtId="0" fontId="0" fillId="4" borderId="2" xfId="0" applyFill="1" applyBorder="1"/>
    <xf numFmtId="0" fontId="25" fillId="0" borderId="20" xfId="0" applyFont="1" applyFill="1" applyBorder="1" applyAlignment="1">
      <alignment horizontal="center"/>
    </xf>
    <xf numFmtId="0" fontId="25" fillId="0" borderId="9" xfId="0" applyFont="1" applyFill="1" applyBorder="1" applyAlignment="1">
      <alignment horizontal="center"/>
    </xf>
    <xf numFmtId="0" fontId="25" fillId="0" borderId="10" xfId="0" applyFont="1" applyFill="1" applyBorder="1" applyAlignment="1">
      <alignment horizontal="center"/>
    </xf>
    <xf numFmtId="3" fontId="5" fillId="0" borderId="0" xfId="0" applyNumberFormat="1" applyFont="1" applyFill="1" applyBorder="1"/>
    <xf numFmtId="0" fontId="6" fillId="0" borderId="0"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3" fontId="15" fillId="0" borderId="8" xfId="0" applyNumberFormat="1" applyFont="1" applyBorder="1" applyAlignment="1">
      <alignment horizontal="center"/>
    </xf>
    <xf numFmtId="3" fontId="15" fillId="0" borderId="10" xfId="0" applyNumberFormat="1" applyFont="1" applyBorder="1" applyAlignment="1">
      <alignment horizontal="center"/>
    </xf>
    <xf numFmtId="171" fontId="7" fillId="0" borderId="0" xfId="1" applyNumberFormat="1" applyFont="1" applyBorder="1"/>
    <xf numFmtId="3" fontId="7" fillId="0" borderId="12" xfId="0" applyNumberFormat="1" applyFont="1" applyBorder="1"/>
    <xf numFmtId="3" fontId="7" fillId="0" borderId="5" xfId="0" applyNumberFormat="1" applyFont="1" applyBorder="1"/>
    <xf numFmtId="9" fontId="7" fillId="0" borderId="0" xfId="2" applyFont="1" applyFill="1" applyAlignment="1">
      <alignment wrapText="1"/>
    </xf>
    <xf numFmtId="0" fontId="7" fillId="4" borderId="0" xfId="0" applyFont="1" applyFill="1" applyBorder="1"/>
    <xf numFmtId="0" fontId="6" fillId="3" borderId="4" xfId="0" applyFont="1" applyFill="1" applyBorder="1" applyAlignment="1">
      <alignment horizontal="center" vertical="center"/>
    </xf>
    <xf numFmtId="10" fontId="7" fillId="0" borderId="44" xfId="0" applyNumberFormat="1" applyFont="1" applyBorder="1"/>
    <xf numFmtId="10" fontId="7" fillId="0" borderId="45" xfId="0" applyNumberFormat="1" applyFont="1" applyBorder="1"/>
    <xf numFmtId="10" fontId="7" fillId="0" borderId="46" xfId="0" applyNumberFormat="1" applyFont="1" applyBorder="1"/>
    <xf numFmtId="9" fontId="7" fillId="0" borderId="45" xfId="0" applyNumberFormat="1" applyFont="1" applyBorder="1"/>
    <xf numFmtId="10" fontId="5" fillId="0" borderId="46" xfId="0" applyNumberFormat="1" applyFont="1" applyBorder="1"/>
    <xf numFmtId="10" fontId="5" fillId="0" borderId="45" xfId="0" applyNumberFormat="1" applyFont="1" applyBorder="1"/>
    <xf numFmtId="2" fontId="7" fillId="0" borderId="12" xfId="0" applyNumberFormat="1" applyFont="1" applyBorder="1"/>
    <xf numFmtId="3" fontId="5" fillId="0" borderId="7" xfId="0" applyNumberFormat="1" applyFont="1" applyFill="1" applyBorder="1" applyAlignment="1"/>
    <xf numFmtId="0" fontId="5" fillId="0" borderId="12" xfId="0" applyFont="1" applyFill="1" applyBorder="1" applyAlignment="1">
      <alignment horizontal="right"/>
    </xf>
    <xf numFmtId="0" fontId="6" fillId="0" borderId="17" xfId="0" applyFont="1" applyFill="1" applyBorder="1" applyAlignment="1">
      <alignment horizontal="centerContinuous"/>
    </xf>
    <xf numFmtId="0" fontId="6" fillId="0" borderId="0" xfId="0" applyFont="1" applyFill="1" applyBorder="1" applyAlignment="1">
      <alignment horizontal="centerContinuous"/>
    </xf>
    <xf numFmtId="0" fontId="6" fillId="0" borderId="31" xfId="0" applyFont="1" applyFill="1" applyBorder="1" applyAlignment="1">
      <alignment horizontal="centerContinuous"/>
    </xf>
    <xf numFmtId="0" fontId="6" fillId="0" borderId="47" xfId="0" applyFont="1" applyFill="1" applyBorder="1" applyAlignment="1">
      <alignment horizontal="centerContinuous"/>
    </xf>
    <xf numFmtId="0" fontId="6" fillId="0" borderId="16" xfId="0" applyFont="1" applyFill="1" applyBorder="1" applyAlignment="1">
      <alignment horizontal="centerContinuous"/>
    </xf>
    <xf numFmtId="0" fontId="6" fillId="0" borderId="17" xfId="0" applyFont="1" applyFill="1" applyBorder="1" applyAlignment="1">
      <alignment horizontal="center"/>
    </xf>
    <xf numFmtId="0" fontId="5" fillId="0" borderId="8" xfId="0" applyFont="1" applyFill="1" applyBorder="1" applyAlignment="1">
      <alignment vertical="top" wrapText="1"/>
    </xf>
    <xf numFmtId="0" fontId="6"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30"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20" xfId="0" applyFont="1" applyFill="1" applyBorder="1" applyAlignment="1">
      <alignment horizontal="center" vertical="top" wrapText="1"/>
    </xf>
    <xf numFmtId="0" fontId="5" fillId="0" borderId="10" xfId="0" applyFont="1" applyFill="1" applyBorder="1" applyAlignment="1">
      <alignment wrapText="1"/>
    </xf>
    <xf numFmtId="0" fontId="5" fillId="0" borderId="8" xfId="0" applyFont="1" applyBorder="1" applyAlignment="1">
      <alignment vertical="top"/>
    </xf>
    <xf numFmtId="0" fontId="5" fillId="0" borderId="9" xfId="0" applyFont="1" applyFill="1" applyBorder="1" applyAlignment="1">
      <alignment horizontal="left" vertical="top"/>
    </xf>
    <xf numFmtId="0" fontId="5" fillId="0" borderId="9" xfId="0" applyFont="1" applyFill="1" applyBorder="1" applyAlignment="1">
      <alignment horizontal="left" vertical="top" wrapText="1"/>
    </xf>
    <xf numFmtId="0" fontId="18" fillId="0" borderId="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1" xfId="0" applyFont="1" applyFill="1" applyBorder="1" applyAlignment="1">
      <alignment horizontal="center" vertical="center" wrapText="1"/>
    </xf>
    <xf numFmtId="10" fontId="5" fillId="0" borderId="20" xfId="0" applyNumberFormat="1" applyFont="1" applyFill="1" applyBorder="1" applyAlignment="1">
      <alignment horizontal="right"/>
    </xf>
    <xf numFmtId="10" fontId="5" fillId="0" borderId="9" xfId="0" applyNumberFormat="1" applyFont="1" applyFill="1" applyBorder="1" applyAlignment="1">
      <alignment horizontal="right"/>
    </xf>
    <xf numFmtId="10" fontId="7" fillId="0" borderId="9" xfId="0" applyNumberFormat="1" applyFont="1" applyFill="1" applyBorder="1" applyAlignment="1">
      <alignment horizontal="right"/>
    </xf>
    <xf numFmtId="0" fontId="5" fillId="0" borderId="9" xfId="0" applyFont="1" applyFill="1" applyBorder="1" applyAlignment="1">
      <alignment horizontal="right"/>
    </xf>
    <xf numFmtId="0" fontId="5" fillId="0" borderId="10" xfId="0" applyFont="1" applyFill="1" applyBorder="1" applyAlignment="1">
      <alignment horizontal="right"/>
    </xf>
    <xf numFmtId="0" fontId="5" fillId="0" borderId="9" xfId="0" applyFont="1" applyBorder="1"/>
    <xf numFmtId="0" fontId="5" fillId="0" borderId="8" xfId="0" applyFont="1" applyBorder="1" applyAlignment="1">
      <alignment horizontal="center"/>
    </xf>
    <xf numFmtId="6" fontId="5" fillId="0" borderId="10" xfId="0" applyNumberFormat="1" applyFont="1" applyBorder="1"/>
    <xf numFmtId="10" fontId="7" fillId="0" borderId="10" xfId="0" applyNumberFormat="1" applyFont="1" applyFill="1" applyBorder="1" applyAlignment="1">
      <alignment horizontal="right"/>
    </xf>
    <xf numFmtId="165" fontId="5" fillId="0" borderId="5" xfId="0" applyNumberFormat="1" applyFont="1" applyBorder="1"/>
    <xf numFmtId="2" fontId="5" fillId="0" borderId="5" xfId="0" applyNumberFormat="1" applyFont="1" applyBorder="1"/>
    <xf numFmtId="164" fontId="5" fillId="0" borderId="3" xfId="1" applyNumberFormat="1" applyFont="1" applyFill="1" applyBorder="1" applyAlignment="1">
      <alignment wrapText="1"/>
    </xf>
    <xf numFmtId="10" fontId="5" fillId="0" borderId="8" xfId="0" applyNumberFormat="1" applyFont="1" applyFill="1" applyBorder="1" applyAlignment="1">
      <alignment horizontal="right"/>
    </xf>
    <xf numFmtId="3" fontId="13" fillId="0" borderId="3" xfId="0" applyNumberFormat="1" applyFont="1" applyBorder="1"/>
    <xf numFmtId="165" fontId="5" fillId="0" borderId="3" xfId="0" applyNumberFormat="1" applyFont="1" applyBorder="1"/>
    <xf numFmtId="0" fontId="5" fillId="0" borderId="3" xfId="0" applyFont="1" applyBorder="1" applyAlignment="1">
      <alignment horizontal="center"/>
    </xf>
    <xf numFmtId="9" fontId="5" fillId="0" borderId="5" xfId="0" applyNumberFormat="1" applyFont="1" applyBorder="1"/>
    <xf numFmtId="0" fontId="5" fillId="0" borderId="1" xfId="0" applyFont="1" applyFill="1" applyBorder="1" applyAlignment="1">
      <alignment horizontal="right" wrapText="1"/>
    </xf>
    <xf numFmtId="0" fontId="5" fillId="0" borderId="11" xfId="0" applyFont="1" applyFill="1" applyBorder="1" applyAlignment="1">
      <alignment horizontal="right" wrapText="1"/>
    </xf>
    <xf numFmtId="0" fontId="5" fillId="0" borderId="3" xfId="0" applyFont="1" applyFill="1" applyBorder="1" applyAlignment="1">
      <alignment horizontal="right" wrapText="1"/>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5" fillId="4" borderId="44" xfId="0" applyFont="1" applyFill="1" applyBorder="1"/>
    <xf numFmtId="0" fontId="5" fillId="0" borderId="16" xfId="0" applyFont="1" applyBorder="1" applyAlignment="1">
      <alignment horizontal="right"/>
    </xf>
    <xf numFmtId="164" fontId="5" fillId="0" borderId="0" xfId="1" applyNumberFormat="1" applyFont="1" applyFill="1" applyBorder="1" applyAlignment="1">
      <alignment horizontal="center" wrapText="1"/>
    </xf>
    <xf numFmtId="0" fontId="39" fillId="0" borderId="0" xfId="0" applyFont="1" applyFill="1" applyBorder="1" applyAlignment="1">
      <alignment horizontal="left" vertical="top" wrapText="1"/>
    </xf>
    <xf numFmtId="0" fontId="39" fillId="0" borderId="0" xfId="0" applyFont="1" applyFill="1" applyBorder="1" applyAlignment="1">
      <alignment vertical="top" wrapText="1"/>
    </xf>
    <xf numFmtId="0" fontId="39" fillId="0" borderId="0" xfId="0" applyFont="1" applyFill="1" applyBorder="1" applyAlignment="1">
      <alignment vertical="top"/>
    </xf>
    <xf numFmtId="0" fontId="40" fillId="0" borderId="0"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1" fillId="0" borderId="0" xfId="0" applyFont="1" applyFill="1" applyBorder="1" applyAlignment="1">
      <alignment horizontal="center" wrapText="1"/>
    </xf>
    <xf numFmtId="0" fontId="39" fillId="0" borderId="0" xfId="0" applyFont="1" applyBorder="1" applyAlignment="1">
      <alignment horizontal="right" wrapText="1"/>
    </xf>
    <xf numFmtId="0" fontId="39" fillId="0" borderId="0" xfId="0" applyFont="1" applyBorder="1" applyAlignment="1">
      <alignment horizontal="right"/>
    </xf>
    <xf numFmtId="0" fontId="39" fillId="0" borderId="3" xfId="0" applyFont="1" applyBorder="1" applyAlignment="1">
      <alignment vertical="top"/>
    </xf>
    <xf numFmtId="0" fontId="41" fillId="0" borderId="0" xfId="0" applyFont="1" applyBorder="1" applyAlignment="1">
      <alignment horizontal="center"/>
    </xf>
    <xf numFmtId="0" fontId="39" fillId="0" borderId="0" xfId="0" applyFont="1" applyBorder="1"/>
    <xf numFmtId="0" fontId="39" fillId="0" borderId="0" xfId="0" applyFont="1"/>
    <xf numFmtId="3" fontId="15" fillId="0" borderId="9" xfId="0" applyNumberFormat="1" applyFont="1" applyBorder="1" applyAlignment="1">
      <alignment horizontal="center"/>
    </xf>
    <xf numFmtId="9" fontId="7" fillId="0" borderId="12" xfId="0" applyNumberFormat="1" applyFont="1" applyBorder="1"/>
    <xf numFmtId="10" fontId="7" fillId="0" borderId="7" xfId="0" applyNumberFormat="1" applyFont="1" applyBorder="1"/>
    <xf numFmtId="4" fontId="5" fillId="0" borderId="0" xfId="0" applyNumberFormat="1" applyFont="1" applyFill="1" applyBorder="1" applyAlignment="1"/>
    <xf numFmtId="0" fontId="5" fillId="0" borderId="3" xfId="0" applyFont="1" applyBorder="1"/>
    <xf numFmtId="0" fontId="5" fillId="0" borderId="3" xfId="0" applyFont="1" applyBorder="1" applyAlignment="1">
      <alignment horizontal="right"/>
    </xf>
    <xf numFmtId="0" fontId="5" fillId="0" borderId="6" xfId="0" applyFont="1" applyBorder="1" applyAlignment="1">
      <alignment horizontal="right"/>
    </xf>
    <xf numFmtId="0" fontId="5" fillId="0" borderId="2" xfId="0" applyFont="1" applyBorder="1" applyAlignment="1">
      <alignment horizontal="right"/>
    </xf>
    <xf numFmtId="0" fontId="18" fillId="0" borderId="28" xfId="0" applyFont="1" applyBorder="1" applyAlignment="1">
      <alignment horizontal="right" vertical="center"/>
    </xf>
    <xf numFmtId="0" fontId="18" fillId="0" borderId="2" xfId="0" applyFont="1" applyBorder="1" applyAlignment="1">
      <alignment horizontal="right" vertical="center"/>
    </xf>
    <xf numFmtId="0" fontId="18" fillId="0" borderId="29" xfId="0" applyFont="1" applyBorder="1" applyAlignment="1">
      <alignment horizontal="right" vertical="center"/>
    </xf>
    <xf numFmtId="0" fontId="5" fillId="0" borderId="7" xfId="0" applyFont="1" applyBorder="1" applyAlignment="1">
      <alignment horizontal="right"/>
    </xf>
    <xf numFmtId="0" fontId="5" fillId="0" borderId="12" xfId="0" applyFont="1" applyFill="1" applyBorder="1" applyAlignment="1">
      <alignment horizontal="right" wrapText="1"/>
    </xf>
    <xf numFmtId="0" fontId="5" fillId="0" borderId="5" xfId="0" applyFont="1" applyFill="1" applyBorder="1" applyAlignment="1">
      <alignment horizontal="right" wrapText="1"/>
    </xf>
    <xf numFmtId="0" fontId="5" fillId="0" borderId="2" xfId="0" applyFont="1" applyFill="1" applyBorder="1" applyAlignment="1">
      <alignment horizontal="right" wrapText="1"/>
    </xf>
    <xf numFmtId="0" fontId="5" fillId="0" borderId="6" xfId="0" applyFont="1" applyFill="1" applyBorder="1" applyAlignment="1">
      <alignment horizontal="right" wrapText="1"/>
    </xf>
    <xf numFmtId="164" fontId="36" fillId="0" borderId="7" xfId="1" applyNumberFormat="1" applyFont="1" applyFill="1" applyBorder="1" applyAlignment="1">
      <alignment horizontal="right"/>
    </xf>
    <xf numFmtId="0" fontId="5" fillId="0" borderId="7" xfId="0" applyFont="1" applyFill="1" applyBorder="1" applyAlignment="1">
      <alignment horizontal="right" wrapText="1"/>
    </xf>
    <xf numFmtId="0" fontId="25" fillId="0" borderId="3" xfId="0" applyFont="1" applyFill="1" applyBorder="1" applyAlignment="1">
      <alignment wrapText="1"/>
    </xf>
    <xf numFmtId="0" fontId="0" fillId="0" borderId="3" xfId="0" applyFill="1" applyBorder="1"/>
    <xf numFmtId="0" fontId="6" fillId="7" borderId="9" xfId="0" applyFont="1" applyFill="1" applyBorder="1" applyAlignment="1">
      <alignment horizontal="center" wrapText="1"/>
    </xf>
    <xf numFmtId="0" fontId="6" fillId="7" borderId="8" xfId="0" applyFont="1" applyFill="1" applyBorder="1" applyAlignment="1">
      <alignment horizontal="center" wrapText="1"/>
    </xf>
    <xf numFmtId="0" fontId="6" fillId="7" borderId="10" xfId="0" applyFont="1" applyFill="1" applyBorder="1" applyAlignment="1">
      <alignment horizontal="center" wrapText="1"/>
    </xf>
    <xf numFmtId="0" fontId="5" fillId="7" borderId="2" xfId="0" applyFont="1" applyFill="1" applyBorder="1" applyAlignment="1">
      <alignment vertical="top"/>
    </xf>
    <xf numFmtId="0" fontId="6" fillId="7" borderId="0" xfId="0" applyFont="1" applyFill="1" applyBorder="1" applyAlignment="1">
      <alignment horizontal="center"/>
    </xf>
    <xf numFmtId="0" fontId="6" fillId="7" borderId="5" xfId="0" applyFont="1" applyFill="1" applyBorder="1" applyAlignment="1">
      <alignment horizontal="center"/>
    </xf>
    <xf numFmtId="0" fontId="5" fillId="7" borderId="3" xfId="0" applyFont="1" applyFill="1" applyBorder="1" applyAlignment="1"/>
    <xf numFmtId="2" fontId="7" fillId="0" borderId="5" xfId="0" applyNumberFormat="1" applyFont="1" applyBorder="1"/>
    <xf numFmtId="0" fontId="5" fillId="7" borderId="0" xfId="0" applyFont="1" applyFill="1" applyBorder="1" applyAlignment="1"/>
    <xf numFmtId="0" fontId="6" fillId="7" borderId="7" xfId="0" applyFont="1" applyFill="1" applyBorder="1" applyAlignment="1">
      <alignment horizontal="center"/>
    </xf>
    <xf numFmtId="0" fontId="5" fillId="0" borderId="11" xfId="0" applyFont="1" applyBorder="1" applyAlignment="1">
      <alignment horizontal="right"/>
    </xf>
    <xf numFmtId="0" fontId="6" fillId="7" borderId="28" xfId="0" applyFont="1" applyFill="1" applyBorder="1"/>
    <xf numFmtId="0" fontId="6" fillId="7" borderId="2" xfId="0" applyFont="1" applyFill="1" applyBorder="1"/>
    <xf numFmtId="0" fontId="6" fillId="7" borderId="28" xfId="0" applyFont="1" applyFill="1" applyBorder="1" applyAlignment="1">
      <alignment horizontal="center"/>
    </xf>
    <xf numFmtId="0" fontId="6" fillId="7" borderId="2" xfId="0" applyFont="1" applyFill="1" applyBorder="1" applyAlignment="1">
      <alignment horizontal="center"/>
    </xf>
    <xf numFmtId="0" fontId="6" fillId="7" borderId="4" xfId="0" applyFont="1" applyFill="1" applyBorder="1" applyAlignment="1">
      <alignment horizontal="center" wrapText="1"/>
    </xf>
    <xf numFmtId="0" fontId="6" fillId="7" borderId="28" xfId="0" applyFont="1" applyFill="1" applyBorder="1" applyAlignment="1">
      <alignment horizontal="center" vertical="top"/>
    </xf>
    <xf numFmtId="0" fontId="6" fillId="7" borderId="2" xfId="0" applyFont="1" applyFill="1" applyBorder="1" applyAlignment="1">
      <alignment horizontal="center" vertical="top"/>
    </xf>
    <xf numFmtId="0" fontId="6" fillId="7" borderId="9" xfId="0" applyFont="1" applyFill="1" applyBorder="1" applyAlignment="1">
      <alignment horizontal="center"/>
    </xf>
    <xf numFmtId="0" fontId="6" fillId="7" borderId="10" xfId="0" applyFont="1" applyFill="1" applyBorder="1" applyAlignment="1">
      <alignment horizontal="center"/>
    </xf>
    <xf numFmtId="0" fontId="6" fillId="7" borderId="8" xfId="0" applyFont="1" applyFill="1" applyBorder="1" applyAlignment="1">
      <alignment horizontal="center"/>
    </xf>
    <xf numFmtId="0" fontId="6" fillId="7" borderId="6" xfId="0" applyFont="1" applyFill="1" applyBorder="1" applyAlignment="1">
      <alignment horizontal="center"/>
    </xf>
    <xf numFmtId="0" fontId="6" fillId="7" borderId="6" xfId="0" applyFont="1" applyFill="1" applyBorder="1" applyAlignment="1">
      <alignment horizontal="center" wrapText="1"/>
    </xf>
    <xf numFmtId="0" fontId="6" fillId="7" borderId="2" xfId="0" applyFont="1" applyFill="1" applyBorder="1" applyAlignment="1">
      <alignment horizontal="center" wrapText="1"/>
    </xf>
    <xf numFmtId="0" fontId="6" fillId="7" borderId="12" xfId="0" applyFont="1" applyFill="1" applyBorder="1" applyAlignment="1">
      <alignment horizontal="center" wrapText="1"/>
    </xf>
    <xf numFmtId="0" fontId="6" fillId="7" borderId="0" xfId="0" applyFont="1" applyFill="1" applyBorder="1" applyAlignment="1">
      <alignment horizontal="center" wrapText="1"/>
    </xf>
    <xf numFmtId="0" fontId="6" fillId="7" borderId="2" xfId="0" applyFont="1" applyFill="1" applyBorder="1" applyAlignment="1">
      <alignment horizontal="center" vertical="center"/>
    </xf>
    <xf numFmtId="0" fontId="6" fillId="7" borderId="9" xfId="0" applyFont="1" applyFill="1" applyBorder="1" applyAlignment="1">
      <alignment horizontal="center" vertical="top" wrapText="1"/>
    </xf>
    <xf numFmtId="0" fontId="6" fillId="7" borderId="10" xfId="0" applyFont="1" applyFill="1" applyBorder="1" applyAlignment="1">
      <alignment horizontal="center" vertical="top" wrapText="1"/>
    </xf>
    <xf numFmtId="3" fontId="6" fillId="7" borderId="28" xfId="0" applyNumberFormat="1" applyFont="1" applyFill="1" applyBorder="1" applyAlignment="1">
      <alignment horizontal="center" wrapText="1"/>
    </xf>
    <xf numFmtId="3" fontId="15" fillId="7" borderId="28" xfId="0" applyNumberFormat="1" applyFont="1" applyFill="1" applyBorder="1" applyAlignment="1">
      <alignment horizontal="center"/>
    </xf>
    <xf numFmtId="0" fontId="15" fillId="7" borderId="2" xfId="0" applyFont="1" applyFill="1" applyBorder="1" applyAlignment="1">
      <alignment horizontal="center"/>
    </xf>
    <xf numFmtId="0" fontId="5" fillId="8" borderId="4" xfId="0" applyFont="1" applyFill="1" applyBorder="1" applyAlignment="1">
      <alignment horizontal="center"/>
    </xf>
    <xf numFmtId="0" fontId="5" fillId="8" borderId="10" xfId="0" applyFont="1" applyFill="1" applyBorder="1" applyAlignment="1">
      <alignment horizontal="center"/>
    </xf>
    <xf numFmtId="0" fontId="6" fillId="7" borderId="38" xfId="0" applyFont="1" applyFill="1" applyBorder="1"/>
    <xf numFmtId="0" fontId="6" fillId="7" borderId="45" xfId="0" applyFont="1" applyFill="1" applyBorder="1"/>
    <xf numFmtId="0" fontId="6" fillId="7" borderId="4" xfId="0" applyFont="1" applyFill="1" applyBorder="1" applyAlignment="1">
      <alignment horizontal="center"/>
    </xf>
    <xf numFmtId="3" fontId="6" fillId="7" borderId="2" xfId="0" applyNumberFormat="1" applyFont="1" applyFill="1" applyBorder="1" applyAlignment="1">
      <alignment horizontal="center"/>
    </xf>
    <xf numFmtId="3" fontId="6" fillId="7" borderId="7" xfId="0" applyNumberFormat="1" applyFont="1" applyFill="1" applyBorder="1" applyAlignment="1">
      <alignment horizontal="center"/>
    </xf>
    <xf numFmtId="3" fontId="6" fillId="7" borderId="2" xfId="0" applyNumberFormat="1" applyFont="1" applyFill="1" applyBorder="1" applyAlignment="1">
      <alignment horizontal="center" wrapText="1"/>
    </xf>
    <xf numFmtId="3" fontId="6" fillId="7" borderId="7" xfId="0" applyNumberFormat="1" applyFont="1" applyFill="1" applyBorder="1" applyAlignment="1">
      <alignment horizontal="center" wrapText="1"/>
    </xf>
    <xf numFmtId="0" fontId="6" fillId="7" borderId="12" xfId="0" applyFont="1" applyFill="1" applyBorder="1" applyAlignment="1">
      <alignment horizontal="center"/>
    </xf>
    <xf numFmtId="0" fontId="6" fillId="7" borderId="5" xfId="0" applyFont="1" applyFill="1" applyBorder="1" applyAlignment="1">
      <alignment horizontal="center" wrapText="1"/>
    </xf>
    <xf numFmtId="0" fontId="22" fillId="7" borderId="11" xfId="0" applyFont="1" applyFill="1" applyBorder="1" applyAlignment="1">
      <alignment horizontal="center"/>
    </xf>
    <xf numFmtId="0" fontId="22" fillId="7" borderId="1" xfId="0" applyFont="1" applyFill="1" applyBorder="1" applyAlignment="1">
      <alignment horizontal="center"/>
    </xf>
    <xf numFmtId="0" fontId="22" fillId="7" borderId="12" xfId="0" applyFont="1" applyFill="1" applyBorder="1" applyAlignment="1">
      <alignment horizontal="center"/>
    </xf>
    <xf numFmtId="0" fontId="6" fillId="7" borderId="8" xfId="0" applyFont="1" applyFill="1" applyBorder="1" applyAlignment="1">
      <alignment horizontal="center" vertical="center"/>
    </xf>
    <xf numFmtId="49" fontId="6" fillId="7" borderId="9" xfId="0" applyNumberFormat="1" applyFont="1" applyFill="1" applyBorder="1" applyAlignment="1">
      <alignment horizontal="center" vertical="center"/>
    </xf>
    <xf numFmtId="49" fontId="6" fillId="7" borderId="10" xfId="0" applyNumberFormat="1" applyFont="1" applyFill="1" applyBorder="1" applyAlignment="1">
      <alignment horizontal="center" vertical="center"/>
    </xf>
    <xf numFmtId="0" fontId="6" fillId="7" borderId="9" xfId="0" applyFont="1" applyFill="1" applyBorder="1" applyAlignment="1">
      <alignment horizontal="center" vertical="center"/>
    </xf>
    <xf numFmtId="0" fontId="5" fillId="9" borderId="0" xfId="0" applyFont="1" applyFill="1" applyBorder="1" applyAlignment="1">
      <alignment horizontal="left" vertical="top" wrapText="1"/>
    </xf>
    <xf numFmtId="9" fontId="0" fillId="0" borderId="0" xfId="0" applyNumberFormat="1"/>
    <xf numFmtId="10" fontId="0" fillId="0" borderId="0" xfId="0" applyNumberFormat="1"/>
    <xf numFmtId="0" fontId="25" fillId="0" borderId="0" xfId="0" applyFont="1" applyFill="1"/>
    <xf numFmtId="0" fontId="42" fillId="0" borderId="0" xfId="0" applyFont="1" applyFill="1"/>
    <xf numFmtId="0" fontId="0" fillId="0" borderId="9" xfId="0" applyFont="1" applyBorder="1"/>
    <xf numFmtId="10" fontId="7" fillId="0" borderId="0" xfId="0" applyNumberFormat="1" applyFont="1" applyFill="1" applyBorder="1" applyAlignment="1">
      <alignment vertical="center"/>
    </xf>
    <xf numFmtId="0" fontId="6" fillId="0" borderId="9" xfId="0" applyFont="1" applyBorder="1"/>
    <xf numFmtId="0" fontId="7" fillId="0" borderId="0" xfId="0" applyFont="1" applyFill="1" applyBorder="1" applyAlignment="1">
      <alignment wrapText="1"/>
    </xf>
    <xf numFmtId="0" fontId="6" fillId="0" borderId="0" xfId="0" applyFont="1" applyFill="1"/>
    <xf numFmtId="0" fontId="7" fillId="4" borderId="0" xfId="0" applyFont="1" applyFill="1" applyBorder="1" applyAlignment="1">
      <alignment wrapText="1"/>
    </xf>
    <xf numFmtId="0" fontId="15" fillId="0" borderId="9" xfId="0" applyFont="1" applyFill="1" applyBorder="1" applyAlignment="1">
      <alignment vertical="top"/>
    </xf>
    <xf numFmtId="0" fontId="6" fillId="3" borderId="9" xfId="0" applyFont="1" applyFill="1" applyBorder="1" applyAlignment="1">
      <alignment horizontal="center"/>
    </xf>
    <xf numFmtId="3" fontId="5" fillId="0" borderId="0" xfId="0" applyNumberFormat="1" applyFont="1" applyFill="1" applyBorder="1" applyAlignment="1">
      <alignment horizontal="right" wrapText="1"/>
    </xf>
    <xf numFmtId="3" fontId="5" fillId="0" borderId="5" xfId="0" applyNumberFormat="1" applyFont="1" applyFill="1" applyBorder="1" applyAlignment="1">
      <alignment horizontal="right" wrapText="1"/>
    </xf>
    <xf numFmtId="0" fontId="6" fillId="0" borderId="0" xfId="0" applyFont="1" applyFill="1" applyAlignment="1">
      <alignment horizontal="right"/>
    </xf>
    <xf numFmtId="0" fontId="5" fillId="0" borderId="0" xfId="0" applyFont="1" applyAlignment="1">
      <alignment horizontal="left"/>
    </xf>
    <xf numFmtId="0" fontId="18" fillId="0" borderId="0" xfId="0" applyFont="1" applyFill="1" applyAlignment="1">
      <alignment horizontal="center" vertical="center"/>
    </xf>
    <xf numFmtId="43" fontId="20" fillId="0" borderId="0" xfId="1" applyFont="1" applyFill="1"/>
    <xf numFmtId="164" fontId="5" fillId="0" borderId="16" xfId="1" applyNumberFormat="1" applyFont="1" applyFill="1" applyBorder="1" applyAlignment="1"/>
    <xf numFmtId="0" fontId="15" fillId="0" borderId="0" xfId="0" applyFont="1" applyFill="1" applyBorder="1" applyAlignment="1">
      <alignment horizontal="center" vertical="center"/>
    </xf>
    <xf numFmtId="10" fontId="7" fillId="0" borderId="0" xfId="0" applyNumberFormat="1" applyFont="1"/>
    <xf numFmtId="0" fontId="5" fillId="0" borderId="3" xfId="0" applyFont="1" applyFill="1" applyBorder="1" applyAlignment="1">
      <alignment horizontal="center" vertical="top"/>
    </xf>
    <xf numFmtId="0" fontId="0" fillId="0" borderId="5" xfId="0" applyFont="1" applyFill="1" applyBorder="1"/>
    <xf numFmtId="0" fontId="7"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5" fillId="0" borderId="16" xfId="0" applyFont="1" applyFill="1" applyBorder="1"/>
    <xf numFmtId="1" fontId="0" fillId="0" borderId="0" xfId="0" applyNumberFormat="1"/>
    <xf numFmtId="1" fontId="5" fillId="0" borderId="0" xfId="0" applyNumberFormat="1" applyFont="1"/>
    <xf numFmtId="0" fontId="7" fillId="0" borderId="3" xfId="0" applyFont="1" applyBorder="1" applyAlignment="1">
      <alignment vertical="top"/>
    </xf>
    <xf numFmtId="0" fontId="26" fillId="0" borderId="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15" fillId="0" borderId="0" xfId="0" applyFont="1" applyBorder="1" applyAlignment="1">
      <alignment horizontal="center"/>
    </xf>
    <xf numFmtId="0" fontId="7" fillId="0" borderId="0" xfId="0" applyFont="1"/>
    <xf numFmtId="0" fontId="43" fillId="0" borderId="0" xfId="10" applyFill="1" applyBorder="1" applyAlignment="1">
      <alignment vertical="top"/>
    </xf>
    <xf numFmtId="165" fontId="7" fillId="0" borderId="0" xfId="2" applyNumberFormat="1" applyFont="1" applyBorder="1" applyAlignment="1">
      <alignment horizontal="right"/>
    </xf>
    <xf numFmtId="0" fontId="6" fillId="3" borderId="20" xfId="0" applyFont="1" applyFill="1" applyBorder="1" applyAlignment="1">
      <alignment wrapText="1"/>
    </xf>
    <xf numFmtId="0" fontId="6" fillId="3" borderId="9" xfId="0" applyFont="1" applyFill="1" applyBorder="1" applyAlignment="1">
      <alignment wrapText="1"/>
    </xf>
    <xf numFmtId="0" fontId="6" fillId="3" borderId="10" xfId="0" applyFont="1" applyFill="1" applyBorder="1" applyAlignment="1">
      <alignment wrapText="1"/>
    </xf>
    <xf numFmtId="0" fontId="6" fillId="3" borderId="8" xfId="0" applyFont="1" applyFill="1" applyBorder="1" applyAlignment="1">
      <alignment wrapText="1"/>
    </xf>
    <xf numFmtId="0" fontId="6" fillId="3" borderId="9" xfId="0" applyFont="1" applyFill="1" applyBorder="1" applyAlignment="1">
      <alignment horizontal="center"/>
    </xf>
    <xf numFmtId="0" fontId="25" fillId="7" borderId="4" xfId="0" applyFont="1" applyFill="1" applyBorder="1" applyAlignment="1">
      <alignment horizontal="center"/>
    </xf>
    <xf numFmtId="0" fontId="25" fillId="0" borderId="4" xfId="0" applyFont="1" applyFill="1" applyBorder="1" applyAlignment="1">
      <alignment horizontal="center"/>
    </xf>
    <xf numFmtId="0" fontId="25" fillId="7" borderId="2" xfId="0" applyFont="1" applyFill="1" applyBorder="1" applyAlignment="1">
      <alignment horizontal="center" wrapText="1"/>
    </xf>
    <xf numFmtId="0" fontId="6" fillId="0" borderId="0" xfId="0" applyFont="1" applyFill="1" applyBorder="1" applyAlignment="1">
      <alignment horizontal="center"/>
    </xf>
    <xf numFmtId="0" fontId="15" fillId="0" borderId="0" xfId="0" applyFont="1" applyFill="1" applyBorder="1" applyAlignment="1">
      <alignment vertical="top" wrapText="1"/>
    </xf>
    <xf numFmtId="3" fontId="5" fillId="0" borderId="0" xfId="0" applyNumberFormat="1" applyFont="1" applyBorder="1" applyAlignment="1">
      <alignment horizontal="right"/>
    </xf>
    <xf numFmtId="3" fontId="5" fillId="0" borderId="0" xfId="0" applyNumberFormat="1" applyFont="1" applyFill="1" applyBorder="1" applyAlignment="1">
      <alignment horizontal="right"/>
    </xf>
    <xf numFmtId="3" fontId="5" fillId="0" borderId="0" xfId="0" applyNumberFormat="1" applyFont="1" applyBorder="1" applyAlignment="1">
      <alignment horizontal="center" wrapText="1"/>
    </xf>
    <xf numFmtId="0" fontId="6" fillId="7" borderId="0" xfId="0" applyFont="1" applyFill="1" applyBorder="1" applyAlignment="1">
      <alignment horizontal="center" vertical="center"/>
    </xf>
    <xf numFmtId="10" fontId="5" fillId="0" borderId="1" xfId="0" applyNumberFormat="1" applyFont="1" applyFill="1" applyBorder="1"/>
    <xf numFmtId="1" fontId="38" fillId="0" borderId="1" xfId="8" applyNumberFormat="1" applyFont="1" applyBorder="1">
      <alignment horizontal="right"/>
    </xf>
    <xf numFmtId="1" fontId="38" fillId="0" borderId="0" xfId="8" applyNumberFormat="1" applyFont="1" applyBorder="1">
      <alignment horizontal="right"/>
    </xf>
    <xf numFmtId="0" fontId="18" fillId="0" borderId="48" xfId="0" applyFont="1" applyFill="1" applyBorder="1" applyAlignment="1">
      <alignment horizontal="center" vertical="center" wrapText="1"/>
    </xf>
    <xf numFmtId="0" fontId="6" fillId="0" borderId="17" xfId="0" applyFont="1" applyFill="1" applyBorder="1" applyAlignment="1">
      <alignment horizontal="right" vertical="top"/>
    </xf>
    <xf numFmtId="0" fontId="6" fillId="0" borderId="17" xfId="0" applyFont="1" applyFill="1" applyBorder="1" applyAlignment="1">
      <alignment horizontal="right"/>
    </xf>
    <xf numFmtId="0" fontId="25" fillId="0" borderId="17" xfId="0" applyFont="1" applyFill="1" applyBorder="1" applyAlignment="1">
      <alignment horizontal="right"/>
    </xf>
    <xf numFmtId="0" fontId="5" fillId="0" borderId="0" xfId="0" applyFont="1" applyFill="1" applyAlignment="1">
      <alignment horizontal="right"/>
    </xf>
    <xf numFmtId="0" fontId="6" fillId="0" borderId="10" xfId="0" applyFont="1" applyFill="1" applyBorder="1" applyAlignment="1">
      <alignment horizontal="left" vertical="top"/>
    </xf>
    <xf numFmtId="0" fontId="6" fillId="0" borderId="10" xfId="0" applyFont="1" applyFill="1" applyBorder="1" applyAlignment="1">
      <alignment horizontal="right" vertical="top"/>
    </xf>
    <xf numFmtId="0" fontId="25" fillId="0" borderId="10" xfId="0" applyFont="1" applyFill="1" applyBorder="1" applyAlignment="1">
      <alignment horizontal="right"/>
    </xf>
    <xf numFmtId="0" fontId="6" fillId="0" borderId="18" xfId="0" applyFont="1" applyFill="1" applyBorder="1" applyAlignment="1">
      <alignment horizontal="right" vertical="top"/>
    </xf>
    <xf numFmtId="0" fontId="6" fillId="0" borderId="4" xfId="0" applyFont="1" applyFill="1" applyBorder="1" applyAlignment="1">
      <alignment horizontal="right" vertical="top"/>
    </xf>
    <xf numFmtId="0" fontId="6" fillId="0" borderId="4" xfId="0" applyFont="1" applyFill="1" applyBorder="1" applyAlignment="1">
      <alignment horizontal="left" vertical="top"/>
    </xf>
    <xf numFmtId="0" fontId="5" fillId="0" borderId="1" xfId="0" applyFont="1" applyFill="1" applyBorder="1" applyAlignment="1">
      <alignment horizontal="left" vertical="top"/>
    </xf>
    <xf numFmtId="0" fontId="7" fillId="0" borderId="0" xfId="9" applyFont="1">
      <alignment horizontal="left" vertical="center" wrapText="1"/>
    </xf>
    <xf numFmtId="0" fontId="15" fillId="0" borderId="10" xfId="0" applyFont="1" applyFill="1" applyBorder="1" applyAlignment="1">
      <alignment wrapText="1"/>
    </xf>
    <xf numFmtId="0" fontId="15" fillId="0" borderId="10" xfId="0" applyFont="1" applyFill="1" applyBorder="1"/>
    <xf numFmtId="0" fontId="7" fillId="0" borderId="0" xfId="0" applyFont="1" applyFill="1" applyBorder="1" applyAlignment="1">
      <alignment horizontal="center" wrapText="1"/>
    </xf>
    <xf numFmtId="0" fontId="6" fillId="0" borderId="0" xfId="0" applyFont="1" applyFill="1" applyAlignment="1">
      <alignment vertical="top"/>
    </xf>
    <xf numFmtId="0" fontId="5" fillId="0" borderId="0" xfId="0" applyFont="1" applyAlignment="1">
      <alignment horizontal="center" wrapText="1"/>
    </xf>
    <xf numFmtId="0" fontId="6" fillId="0" borderId="10" xfId="0" applyFont="1" applyBorder="1"/>
    <xf numFmtId="0" fontId="5" fillId="0" borderId="17" xfId="0" applyFont="1" applyFill="1" applyBorder="1"/>
    <xf numFmtId="0" fontId="5" fillId="0" borderId="31" xfId="0" applyFont="1" applyFill="1" applyBorder="1"/>
    <xf numFmtId="0" fontId="15" fillId="0" borderId="8" xfId="0" applyFont="1" applyFill="1" applyBorder="1" applyAlignment="1">
      <alignment horizontal="right" vertical="top"/>
    </xf>
    <xf numFmtId="0" fontId="15" fillId="0" borderId="9" xfId="0" applyFont="1" applyFill="1" applyBorder="1" applyAlignment="1">
      <alignment horizontal="right" vertical="top"/>
    </xf>
    <xf numFmtId="0" fontId="15" fillId="0" borderId="10" xfId="0" applyFont="1" applyFill="1" applyBorder="1" applyAlignment="1">
      <alignment vertical="top"/>
    </xf>
    <xf numFmtId="0" fontId="0" fillId="0" borderId="17" xfId="0" applyBorder="1"/>
    <xf numFmtId="9" fontId="5" fillId="0" borderId="0" xfId="0" applyNumberFormat="1" applyFont="1"/>
    <xf numFmtId="0" fontId="15" fillId="0" borderId="10" xfId="0" applyFont="1" applyFill="1" applyBorder="1" applyAlignment="1">
      <alignment horizontal="right" vertical="top"/>
    </xf>
    <xf numFmtId="0" fontId="15" fillId="0" borderId="4" xfId="0" applyFont="1" applyFill="1" applyBorder="1" applyAlignment="1">
      <alignment horizontal="right" vertical="top"/>
    </xf>
    <xf numFmtId="0" fontId="15" fillId="0" borderId="4" xfId="0" applyFont="1" applyFill="1" applyBorder="1" applyAlignment="1">
      <alignment vertical="top"/>
    </xf>
    <xf numFmtId="0" fontId="0" fillId="0" borderId="49" xfId="0" applyBorder="1"/>
    <xf numFmtId="0" fontId="5" fillId="0" borderId="49" xfId="0" applyFont="1" applyBorder="1"/>
    <xf numFmtId="0" fontId="5" fillId="0" borderId="49" xfId="0" applyFont="1" applyFill="1" applyBorder="1"/>
    <xf numFmtId="0" fontId="5" fillId="0" borderId="0" xfId="0" applyFont="1" applyAlignment="1">
      <alignment horizontal="left" wrapText="1"/>
    </xf>
    <xf numFmtId="0" fontId="7" fillId="0" borderId="0" xfId="0" applyFont="1" applyFill="1" applyBorder="1" applyAlignment="1">
      <alignment horizontal="left" vertical="center" wrapText="1"/>
    </xf>
    <xf numFmtId="0" fontId="6" fillId="8" borderId="16" xfId="0" applyFont="1" applyFill="1" applyBorder="1" applyAlignment="1">
      <alignment horizontal="center"/>
    </xf>
    <xf numFmtId="0" fontId="6" fillId="8" borderId="0" xfId="0" applyFont="1" applyFill="1" applyBorder="1" applyAlignment="1">
      <alignment horizontal="center"/>
    </xf>
    <xf numFmtId="0" fontId="6" fillId="8" borderId="5" xfId="0" applyFont="1" applyFill="1" applyBorder="1" applyAlignment="1">
      <alignment horizontal="center"/>
    </xf>
    <xf numFmtId="0" fontId="6" fillId="8" borderId="3" xfId="0" applyFont="1" applyFill="1" applyBorder="1" applyAlignment="1">
      <alignment horizontal="center"/>
    </xf>
    <xf numFmtId="3" fontId="6" fillId="8" borderId="3" xfId="0" applyNumberFormat="1" applyFont="1" applyFill="1" applyBorder="1" applyAlignment="1">
      <alignment horizontal="center"/>
    </xf>
    <xf numFmtId="3" fontId="6" fillId="8" borderId="0" xfId="0" applyNumberFormat="1" applyFont="1" applyFill="1" applyBorder="1" applyAlignment="1">
      <alignment horizontal="center"/>
    </xf>
    <xf numFmtId="3" fontId="6" fillId="8" borderId="5" xfId="0" applyNumberFormat="1" applyFont="1" applyFill="1" applyBorder="1" applyAlignment="1">
      <alignment horizontal="center"/>
    </xf>
    <xf numFmtId="0" fontId="6" fillId="8" borderId="4"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8" borderId="20" xfId="0" applyFont="1" applyFill="1" applyBorder="1" applyAlignment="1">
      <alignment horizontal="center"/>
    </xf>
    <xf numFmtId="0" fontId="6" fillId="8" borderId="9" xfId="0" applyFont="1" applyFill="1" applyBorder="1" applyAlignment="1">
      <alignment horizontal="center"/>
    </xf>
    <xf numFmtId="0" fontId="6" fillId="8" borderId="10" xfId="0" applyFont="1" applyFill="1" applyBorder="1" applyAlignment="1">
      <alignment horizontal="center"/>
    </xf>
    <xf numFmtId="0" fontId="6" fillId="3" borderId="4" xfId="0" applyFont="1" applyFill="1" applyBorder="1" applyAlignment="1">
      <alignment horizontal="center"/>
    </xf>
    <xf numFmtId="0" fontId="6" fillId="3" borderId="4" xfId="0" applyFont="1" applyFill="1" applyBorder="1" applyAlignment="1">
      <alignment horizontal="center" wrapText="1"/>
    </xf>
    <xf numFmtId="0" fontId="6" fillId="3" borderId="20" xfId="0" applyFont="1" applyFill="1" applyBorder="1" applyAlignment="1">
      <alignment horizontal="center"/>
    </xf>
    <xf numFmtId="0" fontId="6" fillId="0" borderId="9"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Border="1" applyAlignment="1">
      <alignment horizontal="center"/>
    </xf>
    <xf numFmtId="0" fontId="6" fillId="0" borderId="10" xfId="0" applyFont="1" applyBorder="1" applyAlignment="1">
      <alignment horizontal="center"/>
    </xf>
    <xf numFmtId="0" fontId="25" fillId="0" borderId="0" xfId="0" applyFont="1" applyFill="1" applyBorder="1" applyAlignment="1">
      <alignment horizontal="center"/>
    </xf>
    <xf numFmtId="0" fontId="25" fillId="7" borderId="4" xfId="0" applyFont="1" applyFill="1" applyBorder="1" applyAlignment="1">
      <alignment horizontal="center"/>
    </xf>
    <xf numFmtId="0" fontId="25" fillId="0" borderId="4" xfId="0" applyFont="1" applyFill="1" applyBorder="1" applyAlignment="1">
      <alignment horizontal="center"/>
    </xf>
    <xf numFmtId="0" fontId="25" fillId="7" borderId="2" xfId="0" applyFont="1" applyFill="1" applyBorder="1" applyAlignment="1">
      <alignment horizontal="center" wrapText="1"/>
    </xf>
    <xf numFmtId="0" fontId="25" fillId="7" borderId="7" xfId="0" applyFont="1" applyFill="1" applyBorder="1" applyAlignment="1">
      <alignment horizontal="center" wrapText="1"/>
    </xf>
    <xf numFmtId="0" fontId="25" fillId="7" borderId="28" xfId="0" applyFont="1" applyFill="1" applyBorder="1" applyAlignment="1">
      <alignment horizontal="center" wrapText="1"/>
    </xf>
    <xf numFmtId="0" fontId="6" fillId="0" borderId="0" xfId="0" applyFont="1" applyFill="1" applyBorder="1" applyAlignment="1">
      <alignment horizontal="center"/>
    </xf>
    <xf numFmtId="0" fontId="25" fillId="0" borderId="20" xfId="0" applyFont="1" applyFill="1" applyBorder="1" applyAlignment="1">
      <alignment horizontal="center"/>
    </xf>
    <xf numFmtId="0" fontId="25" fillId="0" borderId="9" xfId="0" applyFont="1" applyFill="1" applyBorder="1" applyAlignment="1">
      <alignment horizontal="center"/>
    </xf>
    <xf numFmtId="0" fontId="25" fillId="0" borderId="10" xfId="0" applyFont="1" applyFill="1" applyBorder="1" applyAlignment="1">
      <alignment horizontal="center"/>
    </xf>
    <xf numFmtId="0" fontId="25" fillId="0" borderId="16" xfId="0" applyFont="1" applyBorder="1" applyAlignment="1">
      <alignment horizontal="center" wrapText="1"/>
    </xf>
    <xf numFmtId="0" fontId="25" fillId="0" borderId="0" xfId="0" applyFont="1" applyBorder="1" applyAlignment="1">
      <alignment horizontal="center" wrapText="1"/>
    </xf>
    <xf numFmtId="0" fontId="5" fillId="0" borderId="16" xfId="0" applyFont="1" applyBorder="1" applyAlignment="1">
      <alignment horizontal="center"/>
    </xf>
    <xf numFmtId="0" fontId="5" fillId="0" borderId="0" xfId="0" applyFont="1" applyBorder="1" applyAlignment="1">
      <alignment horizontal="center"/>
    </xf>
    <xf numFmtId="0" fontId="5" fillId="0" borderId="16" xfId="0" applyFont="1" applyFill="1" applyBorder="1" applyAlignment="1">
      <alignment horizontal="center"/>
    </xf>
    <xf numFmtId="0" fontId="5" fillId="0" borderId="0" xfId="0" applyFont="1" applyFill="1" applyBorder="1" applyAlignment="1">
      <alignment horizontal="center"/>
    </xf>
    <xf numFmtId="0" fontId="6" fillId="3" borderId="46" xfId="0" applyFont="1" applyFill="1" applyBorder="1" applyAlignment="1">
      <alignment horizontal="center"/>
    </xf>
    <xf numFmtId="0" fontId="6" fillId="3" borderId="1" xfId="0" applyFont="1" applyFill="1" applyBorder="1" applyAlignment="1">
      <alignment horizontal="center"/>
    </xf>
    <xf numFmtId="0" fontId="6" fillId="3" borderId="12" xfId="0" applyFont="1" applyFill="1" applyBorder="1" applyAlignment="1">
      <alignment horizontal="center"/>
    </xf>
    <xf numFmtId="0" fontId="6" fillId="3" borderId="11" xfId="0" applyFont="1" applyFill="1" applyBorder="1" applyAlignment="1">
      <alignment horizontal="center"/>
    </xf>
    <xf numFmtId="3" fontId="15" fillId="7" borderId="8" xfId="0" applyNumberFormat="1" applyFont="1" applyFill="1" applyBorder="1" applyAlignment="1">
      <alignment horizontal="center"/>
    </xf>
    <xf numFmtId="3" fontId="15" fillId="7" borderId="10" xfId="0" applyNumberFormat="1" applyFont="1" applyFill="1" applyBorder="1" applyAlignment="1">
      <alignment horizontal="center"/>
    </xf>
    <xf numFmtId="3" fontId="15" fillId="7" borderId="9" xfId="0" applyNumberFormat="1" applyFont="1" applyFill="1" applyBorder="1" applyAlignment="1">
      <alignment horizontal="center"/>
    </xf>
    <xf numFmtId="0" fontId="7" fillId="0" borderId="0" xfId="0" applyFont="1" applyFill="1" applyBorder="1" applyAlignment="1">
      <alignment horizontal="left" vertical="top"/>
    </xf>
    <xf numFmtId="0" fontId="6" fillId="0" borderId="28" xfId="0" applyFont="1" applyBorder="1" applyAlignment="1">
      <alignment horizontal="center"/>
    </xf>
    <xf numFmtId="0" fontId="6" fillId="0" borderId="2" xfId="0" applyFont="1" applyBorder="1" applyAlignment="1">
      <alignment horizontal="center"/>
    </xf>
    <xf numFmtId="0" fontId="22" fillId="3" borderId="4" xfId="0" applyFont="1" applyFill="1" applyBorder="1" applyAlignment="1">
      <alignment horizontal="center"/>
    </xf>
  </cellXfs>
  <cellStyles count="11">
    <cellStyle name="Comma" xfId="1" builtinId="3"/>
    <cellStyle name="Comma 2" xfId="4"/>
    <cellStyle name="Hyperlink" xfId="10" builtinId="8"/>
    <cellStyle name="Normal" xfId="0" builtinId="0"/>
    <cellStyle name="Normal 2" xfId="3"/>
    <cellStyle name="Normal 3" xfId="5"/>
    <cellStyle name="Percent" xfId="2" builtinId="5"/>
    <cellStyle name="Style3" xfId="6"/>
    <cellStyle name="Style4" xfId="9"/>
    <cellStyle name="Style5" xfId="7"/>
    <cellStyle name="Style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209549</xdr:colOff>
      <xdr:row>1</xdr:row>
      <xdr:rowOff>161924</xdr:rowOff>
    </xdr:from>
    <xdr:to>
      <xdr:col>1</xdr:col>
      <xdr:colOff>971550</xdr:colOff>
      <xdr:row>4</xdr:row>
      <xdr:rowOff>174275</xdr:rowOff>
    </xdr:to>
    <xdr:pic>
      <xdr:nvPicPr>
        <xdr:cNvPr id="2" name="Picture 1"/>
        <xdr:cNvPicPr>
          <a:picLocks noChangeAspect="1"/>
        </xdr:cNvPicPr>
      </xdr:nvPicPr>
      <xdr:blipFill rotWithShape="1">
        <a:blip xmlns:r="http://schemas.openxmlformats.org/officeDocument/2006/relationships" r:embed="rId1"/>
        <a:srcRect r="34504" b="22612"/>
        <a:stretch/>
      </xdr:blipFill>
      <xdr:spPr>
        <a:xfrm>
          <a:off x="209549" y="352424"/>
          <a:ext cx="762001" cy="519293"/>
        </a:xfrm>
        <a:prstGeom prst="rect">
          <a:avLst/>
        </a:prstGeom>
      </xdr:spPr>
    </xdr:pic>
    <xdr:clientData/>
  </xdr:twoCellAnchor>
  <xdr:twoCellAnchor editAs="oneCell">
    <xdr:from>
      <xdr:col>46</xdr:col>
      <xdr:colOff>57150</xdr:colOff>
      <xdr:row>1</xdr:row>
      <xdr:rowOff>161925</xdr:rowOff>
    </xdr:from>
    <xdr:to>
      <xdr:col>48</xdr:col>
      <xdr:colOff>363647</xdr:colOff>
      <xdr:row>5</xdr:row>
      <xdr:rowOff>57414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3200" y="352425"/>
          <a:ext cx="1548789" cy="592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209549</xdr:colOff>
      <xdr:row>1</xdr:row>
      <xdr:rowOff>161924</xdr:rowOff>
    </xdr:from>
    <xdr:to>
      <xdr:col>1</xdr:col>
      <xdr:colOff>971550</xdr:colOff>
      <xdr:row>5</xdr:row>
      <xdr:rowOff>33517</xdr:rowOff>
    </xdr:to>
    <xdr:pic>
      <xdr:nvPicPr>
        <xdr:cNvPr id="2" name="Picture 1"/>
        <xdr:cNvPicPr>
          <a:picLocks noChangeAspect="1"/>
        </xdr:cNvPicPr>
      </xdr:nvPicPr>
      <xdr:blipFill rotWithShape="1">
        <a:blip xmlns:r="http://schemas.openxmlformats.org/officeDocument/2006/relationships" r:embed="rId1"/>
        <a:srcRect r="34504" b="22612"/>
        <a:stretch/>
      </xdr:blipFill>
      <xdr:spPr>
        <a:xfrm>
          <a:off x="390524" y="352424"/>
          <a:ext cx="762001" cy="519293"/>
        </a:xfrm>
        <a:prstGeom prst="rect">
          <a:avLst/>
        </a:prstGeom>
      </xdr:spPr>
    </xdr:pic>
    <xdr:clientData/>
  </xdr:twoCellAnchor>
  <xdr:twoCellAnchor editAs="oneCell">
    <xdr:from>
      <xdr:col>41</xdr:col>
      <xdr:colOff>200025</xdr:colOff>
      <xdr:row>1</xdr:row>
      <xdr:rowOff>114300</xdr:rowOff>
    </xdr:from>
    <xdr:to>
      <xdr:col>42</xdr:col>
      <xdr:colOff>820807</xdr:colOff>
      <xdr:row>6</xdr:row>
      <xdr:rowOff>2381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73650" y="304800"/>
          <a:ext cx="1548789" cy="640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209549</xdr:colOff>
      <xdr:row>1</xdr:row>
      <xdr:rowOff>161924</xdr:rowOff>
    </xdr:from>
    <xdr:to>
      <xdr:col>1</xdr:col>
      <xdr:colOff>971550</xdr:colOff>
      <xdr:row>8</xdr:row>
      <xdr:rowOff>100752</xdr:rowOff>
    </xdr:to>
    <xdr:pic>
      <xdr:nvPicPr>
        <xdr:cNvPr id="2" name="Picture 1"/>
        <xdr:cNvPicPr>
          <a:picLocks noChangeAspect="1"/>
        </xdr:cNvPicPr>
      </xdr:nvPicPr>
      <xdr:blipFill rotWithShape="1">
        <a:blip xmlns:r="http://schemas.openxmlformats.org/officeDocument/2006/relationships" r:embed="rId1"/>
        <a:srcRect r="34504" b="22612"/>
        <a:stretch/>
      </xdr:blipFill>
      <xdr:spPr>
        <a:xfrm>
          <a:off x="390524" y="352424"/>
          <a:ext cx="762001" cy="519293"/>
        </a:xfrm>
        <a:prstGeom prst="rect">
          <a:avLst/>
        </a:prstGeom>
      </xdr:spPr>
    </xdr:pic>
    <xdr:clientData/>
  </xdr:twoCellAnchor>
  <xdr:twoCellAnchor editAs="oneCell">
    <xdr:from>
      <xdr:col>54</xdr:col>
      <xdr:colOff>57150</xdr:colOff>
      <xdr:row>1</xdr:row>
      <xdr:rowOff>161925</xdr:rowOff>
    </xdr:from>
    <xdr:to>
      <xdr:col>56</xdr:col>
      <xdr:colOff>386741</xdr:colOff>
      <xdr:row>8</xdr:row>
      <xdr:rowOff>170469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82950" y="352425"/>
          <a:ext cx="1548789" cy="5929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209549</xdr:colOff>
      <xdr:row>1</xdr:row>
      <xdr:rowOff>161924</xdr:rowOff>
    </xdr:from>
    <xdr:to>
      <xdr:col>1</xdr:col>
      <xdr:colOff>1000125</xdr:colOff>
      <xdr:row>3</xdr:row>
      <xdr:rowOff>44910</xdr:rowOff>
    </xdr:to>
    <xdr:pic>
      <xdr:nvPicPr>
        <xdr:cNvPr id="2" name="Picture 1"/>
        <xdr:cNvPicPr>
          <a:picLocks noChangeAspect="1"/>
        </xdr:cNvPicPr>
      </xdr:nvPicPr>
      <xdr:blipFill rotWithShape="1">
        <a:blip xmlns:r="http://schemas.openxmlformats.org/officeDocument/2006/relationships" r:embed="rId1"/>
        <a:srcRect r="34504" b="22612"/>
        <a:stretch/>
      </xdr:blipFill>
      <xdr:spPr>
        <a:xfrm>
          <a:off x="409574" y="352424"/>
          <a:ext cx="790576" cy="495307"/>
        </a:xfrm>
        <a:prstGeom prst="rect">
          <a:avLst/>
        </a:prstGeom>
      </xdr:spPr>
    </xdr:pic>
    <xdr:clientData/>
  </xdr:twoCellAnchor>
  <xdr:twoCellAnchor editAs="oneCell">
    <xdr:from>
      <xdr:col>46</xdr:col>
      <xdr:colOff>57150</xdr:colOff>
      <xdr:row>1</xdr:row>
      <xdr:rowOff>161925</xdr:rowOff>
    </xdr:from>
    <xdr:to>
      <xdr:col>47</xdr:col>
      <xdr:colOff>780110</xdr:colOff>
      <xdr:row>3</xdr:row>
      <xdr:rowOff>48343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82950" y="352425"/>
          <a:ext cx="1548789" cy="5929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209549</xdr:colOff>
      <xdr:row>1</xdr:row>
      <xdr:rowOff>161924</xdr:rowOff>
    </xdr:from>
    <xdr:to>
      <xdr:col>1</xdr:col>
      <xdr:colOff>971550</xdr:colOff>
      <xdr:row>9</xdr:row>
      <xdr:rowOff>69236</xdr:rowOff>
    </xdr:to>
    <xdr:pic>
      <xdr:nvPicPr>
        <xdr:cNvPr id="2" name="Picture 1"/>
        <xdr:cNvPicPr>
          <a:picLocks noChangeAspect="1"/>
        </xdr:cNvPicPr>
      </xdr:nvPicPr>
      <xdr:blipFill rotWithShape="1">
        <a:blip xmlns:r="http://schemas.openxmlformats.org/officeDocument/2006/relationships" r:embed="rId1"/>
        <a:srcRect r="34504" b="22612"/>
        <a:stretch/>
      </xdr:blipFill>
      <xdr:spPr>
        <a:xfrm>
          <a:off x="390524" y="352424"/>
          <a:ext cx="762001" cy="519293"/>
        </a:xfrm>
        <a:prstGeom prst="rect">
          <a:avLst/>
        </a:prstGeom>
      </xdr:spPr>
    </xdr:pic>
    <xdr:clientData/>
  </xdr:twoCellAnchor>
  <xdr:twoCellAnchor editAs="oneCell">
    <xdr:from>
      <xdr:col>63</xdr:col>
      <xdr:colOff>57150</xdr:colOff>
      <xdr:row>1</xdr:row>
      <xdr:rowOff>161925</xdr:rowOff>
    </xdr:from>
    <xdr:to>
      <xdr:col>65</xdr:col>
      <xdr:colOff>60211</xdr:colOff>
      <xdr:row>9</xdr:row>
      <xdr:rowOff>145256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82950" y="352425"/>
          <a:ext cx="1548789" cy="592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llian/AppData/Local/Microsoft/Windows/INetCache/Content.Outlook/PXWVPZ1C/Copy%20of%20education%20lev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ace-Time Research"/>
      <sheetName val="Sheet2"/>
    </sheetNames>
    <sheetDataSet>
      <sheetData sheetId="0"/>
      <sheetData sheetId="1">
        <row r="9">
          <cell r="B9">
            <v>35793</v>
          </cell>
          <cell r="C9">
            <v>30006</v>
          </cell>
          <cell r="D9">
            <v>26031</v>
          </cell>
          <cell r="E9">
            <v>25782</v>
          </cell>
          <cell r="F9">
            <v>30486</v>
          </cell>
          <cell r="G9">
            <v>33438</v>
          </cell>
          <cell r="H9">
            <v>38439</v>
          </cell>
          <cell r="I9">
            <v>53748</v>
          </cell>
          <cell r="J9">
            <v>88692</v>
          </cell>
          <cell r="K9">
            <v>67302</v>
          </cell>
          <cell r="L9">
            <v>119178</v>
          </cell>
          <cell r="M9">
            <v>103440</v>
          </cell>
          <cell r="N9">
            <v>240954</v>
          </cell>
          <cell r="O9">
            <v>1974</v>
          </cell>
          <cell r="P9">
            <v>1935</v>
          </cell>
          <cell r="Q9">
            <v>2979</v>
          </cell>
          <cell r="T9">
            <v>3042</v>
          </cell>
          <cell r="U9">
            <v>1314</v>
          </cell>
          <cell r="W9">
            <v>9906</v>
          </cell>
          <cell r="X9">
            <v>18762</v>
          </cell>
          <cell r="Y9">
            <v>19155</v>
          </cell>
          <cell r="Z9">
            <v>2769</v>
          </cell>
          <cell r="AA9">
            <v>14934</v>
          </cell>
          <cell r="AB9">
            <v>5379</v>
          </cell>
          <cell r="AC9">
            <v>5538</v>
          </cell>
          <cell r="AD9">
            <v>4527</v>
          </cell>
        </row>
        <row r="10">
          <cell r="B10">
            <v>20412</v>
          </cell>
          <cell r="C10">
            <v>20364</v>
          </cell>
          <cell r="D10">
            <v>20541</v>
          </cell>
          <cell r="E10">
            <v>20907</v>
          </cell>
          <cell r="F10">
            <v>24939</v>
          </cell>
          <cell r="G10">
            <v>26499</v>
          </cell>
          <cell r="H10">
            <v>30570</v>
          </cell>
          <cell r="I10">
            <v>35022</v>
          </cell>
          <cell r="J10">
            <v>50991</v>
          </cell>
          <cell r="K10">
            <v>40977</v>
          </cell>
          <cell r="L10">
            <v>59334</v>
          </cell>
          <cell r="M10">
            <v>52326</v>
          </cell>
          <cell r="N10">
            <v>148401</v>
          </cell>
          <cell r="O10">
            <v>924</v>
          </cell>
          <cell r="P10">
            <v>1128</v>
          </cell>
          <cell r="Q10">
            <v>1431</v>
          </cell>
          <cell r="T10">
            <v>2034</v>
          </cell>
          <cell r="U10">
            <v>858</v>
          </cell>
          <cell r="V10">
            <v>1341</v>
          </cell>
          <cell r="W10">
            <v>8790</v>
          </cell>
          <cell r="X10">
            <v>11883</v>
          </cell>
          <cell r="Y10">
            <v>11511</v>
          </cell>
          <cell r="Z10">
            <v>2364</v>
          </cell>
          <cell r="AA10">
            <v>11511</v>
          </cell>
          <cell r="AB10">
            <v>4566</v>
          </cell>
          <cell r="AC10">
            <v>5799</v>
          </cell>
          <cell r="AD10">
            <v>4197</v>
          </cell>
        </row>
        <row r="11">
          <cell r="J11">
            <v>196254</v>
          </cell>
          <cell r="K11">
            <v>153546</v>
          </cell>
          <cell r="L11">
            <v>269976</v>
          </cell>
          <cell r="M11">
            <v>311967</v>
          </cell>
          <cell r="N11">
            <v>799365</v>
          </cell>
          <cell r="O11">
            <v>7341</v>
          </cell>
          <cell r="P11">
            <v>7503</v>
          </cell>
          <cell r="Q11">
            <v>11880</v>
          </cell>
          <cell r="T11">
            <v>13050</v>
          </cell>
          <cell r="U11">
            <v>6369</v>
          </cell>
          <cell r="V11">
            <v>7959</v>
          </cell>
          <cell r="W11">
            <v>49410</v>
          </cell>
          <cell r="X11">
            <v>68592</v>
          </cell>
          <cell r="Y11">
            <v>60657</v>
          </cell>
          <cell r="Z11">
            <v>8370</v>
          </cell>
          <cell r="AA11">
            <v>43830</v>
          </cell>
          <cell r="AB11">
            <v>14862</v>
          </cell>
          <cell r="AC11">
            <v>18792</v>
          </cell>
          <cell r="AD11">
            <v>11520</v>
          </cell>
        </row>
        <row r="13">
          <cell r="B13">
            <v>67887</v>
          </cell>
          <cell r="C13">
            <v>56658</v>
          </cell>
          <cell r="D13">
            <v>55257</v>
          </cell>
          <cell r="E13">
            <v>58005</v>
          </cell>
          <cell r="F13">
            <v>63552</v>
          </cell>
          <cell r="G13">
            <v>70446</v>
          </cell>
          <cell r="H13">
            <v>77709</v>
          </cell>
          <cell r="I13">
            <v>97572</v>
          </cell>
          <cell r="J13">
            <v>154938</v>
          </cell>
          <cell r="K13">
            <v>120255</v>
          </cell>
          <cell r="L13">
            <v>208917</v>
          </cell>
          <cell r="M13">
            <v>225993</v>
          </cell>
          <cell r="N13">
            <v>706755</v>
          </cell>
          <cell r="O13">
            <v>5430</v>
          </cell>
          <cell r="P13">
            <v>5802</v>
          </cell>
          <cell r="Q13">
            <v>8838</v>
          </cell>
          <cell r="T13">
            <v>10596</v>
          </cell>
          <cell r="U13">
            <v>7200</v>
          </cell>
          <cell r="V13">
            <v>8217</v>
          </cell>
          <cell r="W13">
            <v>57618</v>
          </cell>
          <cell r="X13">
            <v>84903</v>
          </cell>
          <cell r="Y13">
            <v>88587</v>
          </cell>
          <cell r="Z13">
            <v>13824</v>
          </cell>
          <cell r="AA13">
            <v>84627</v>
          </cell>
          <cell r="AB13">
            <v>28908</v>
          </cell>
          <cell r="AC13">
            <v>41319</v>
          </cell>
          <cell r="AD13">
            <v>34251</v>
          </cell>
        </row>
        <row r="14">
          <cell r="B14">
            <v>89310</v>
          </cell>
          <cell r="C14">
            <v>81945</v>
          </cell>
          <cell r="D14">
            <v>82068</v>
          </cell>
          <cell r="E14">
            <v>81561</v>
          </cell>
          <cell r="F14">
            <v>95916</v>
          </cell>
          <cell r="G14">
            <v>101535</v>
          </cell>
          <cell r="H14">
            <v>110655</v>
          </cell>
          <cell r="I14">
            <v>136050</v>
          </cell>
          <cell r="J14">
            <v>212805</v>
          </cell>
          <cell r="K14">
            <v>175008</v>
          </cell>
          <cell r="L14">
            <v>273918</v>
          </cell>
          <cell r="M14">
            <v>310410</v>
          </cell>
          <cell r="N14">
            <v>888381</v>
          </cell>
          <cell r="O14">
            <v>5403</v>
          </cell>
          <cell r="P14">
            <v>7164</v>
          </cell>
          <cell r="Q14">
            <v>7329</v>
          </cell>
          <cell r="T14">
            <v>5910</v>
          </cell>
          <cell r="U14">
            <v>6462</v>
          </cell>
          <cell r="V14">
            <v>7590</v>
          </cell>
          <cell r="W14">
            <v>42810</v>
          </cell>
          <cell r="X14">
            <v>61677</v>
          </cell>
          <cell r="Y14">
            <v>51300</v>
          </cell>
          <cell r="Z14">
            <v>9132</v>
          </cell>
          <cell r="AA14">
            <v>44196</v>
          </cell>
          <cell r="AB14">
            <v>18636</v>
          </cell>
          <cell r="AC14">
            <v>18864</v>
          </cell>
          <cell r="AD14">
            <v>14079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wrc.org.z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topLeftCell="A4" workbookViewId="0">
      <selection activeCell="C14" sqref="C14"/>
    </sheetView>
  </sheetViews>
  <sheetFormatPr defaultRowHeight="12" x14ac:dyDescent="0.2"/>
  <cols>
    <col min="1" max="1" width="3" style="3" customWidth="1"/>
    <col min="2" max="2" width="12.28515625" style="3" bestFit="1" customWidth="1"/>
    <col min="3" max="8" width="10.7109375" style="3" customWidth="1"/>
    <col min="9" max="16384" width="9.140625" style="3"/>
  </cols>
  <sheetData>
    <row r="1" spans="2:5" ht="12.75" thickBot="1" x14ac:dyDescent="0.25"/>
    <row r="2" spans="2:5" x14ac:dyDescent="0.2">
      <c r="B2" s="181" t="s">
        <v>787</v>
      </c>
      <c r="C2" s="182"/>
      <c r="D2" s="182"/>
      <c r="E2" s="183"/>
    </row>
    <row r="3" spans="2:5" x14ac:dyDescent="0.2">
      <c r="B3" s="152"/>
      <c r="C3" s="7"/>
      <c r="D3" s="7"/>
      <c r="E3" s="153"/>
    </row>
    <row r="4" spans="2:5" ht="24.75" customHeight="1" x14ac:dyDescent="0.2">
      <c r="B4" s="165" t="s">
        <v>779</v>
      </c>
      <c r="C4" s="78" t="s">
        <v>781</v>
      </c>
      <c r="D4" s="79" t="s">
        <v>782</v>
      </c>
      <c r="E4" s="154" t="s">
        <v>238</v>
      </c>
    </row>
    <row r="5" spans="2:5" x14ac:dyDescent="0.2">
      <c r="B5" s="155" t="s">
        <v>237</v>
      </c>
      <c r="C5" s="25">
        <f>MAX(Demographics!A:A)</f>
        <v>19</v>
      </c>
      <c r="D5" s="25">
        <f>COUNTIF(Demographics!T:T,"a")</f>
        <v>18</v>
      </c>
      <c r="E5" s="156">
        <f t="shared" ref="E5:E9" si="0">D5/C5</f>
        <v>0.94736842105263153</v>
      </c>
    </row>
    <row r="6" spans="2:5" x14ac:dyDescent="0.2">
      <c r="B6" s="155" t="s">
        <v>64</v>
      </c>
      <c r="C6" s="25">
        <f>MAX(Productive!A:A)</f>
        <v>35</v>
      </c>
      <c r="D6" s="25">
        <f>COUNTIF(Productive!T:T,"a")</f>
        <v>14</v>
      </c>
      <c r="E6" s="156">
        <f t="shared" si="0"/>
        <v>0.4</v>
      </c>
    </row>
    <row r="7" spans="2:5" x14ac:dyDescent="0.2">
      <c r="B7" s="155" t="s">
        <v>160</v>
      </c>
      <c r="C7" s="25">
        <f>MAX(Inclusive!A:A)</f>
        <v>53</v>
      </c>
      <c r="D7" s="25">
        <f>COUNTIF(Inclusive!T:T,"a")</f>
        <v>16</v>
      </c>
      <c r="E7" s="156">
        <f t="shared" si="0"/>
        <v>0.30188679245283018</v>
      </c>
    </row>
    <row r="8" spans="2:5" x14ac:dyDescent="0.2">
      <c r="B8" s="155" t="s">
        <v>159</v>
      </c>
      <c r="C8" s="25">
        <f>MAX(Sustainable!A:A)</f>
        <v>38</v>
      </c>
      <c r="D8" s="25">
        <f>COUNTIF(Sustainable!V:V,"a")</f>
        <v>13</v>
      </c>
      <c r="E8" s="156">
        <f t="shared" si="0"/>
        <v>0.34210526315789475</v>
      </c>
    </row>
    <row r="9" spans="2:5" ht="12.75" thickBot="1" x14ac:dyDescent="0.25">
      <c r="B9" s="158" t="s">
        <v>249</v>
      </c>
      <c r="C9" s="159">
        <f>MAX('Well governed'!A:A)</f>
        <v>67</v>
      </c>
      <c r="D9" s="159">
        <f>COUNTIF('Well governed'!U:U,"a")</f>
        <v>26</v>
      </c>
      <c r="E9" s="157">
        <f t="shared" si="0"/>
        <v>0.38805970149253732</v>
      </c>
    </row>
    <row r="10" spans="2:5" ht="12.75" thickBot="1" x14ac:dyDescent="0.25">
      <c r="B10" s="160" t="s">
        <v>778</v>
      </c>
      <c r="C10" s="161">
        <f>SUM(C5:C9)</f>
        <v>212</v>
      </c>
      <c r="D10" s="161">
        <f>SUM(D5:D9)</f>
        <v>87</v>
      </c>
      <c r="E10" s="162">
        <f>D10/C10</f>
        <v>0.41037735849056606</v>
      </c>
    </row>
    <row r="11" spans="2:5" x14ac:dyDescent="0.2">
      <c r="B11" s="163"/>
      <c r="C11" s="52"/>
      <c r="D11" s="52"/>
      <c r="E11" s="164"/>
    </row>
    <row r="12" spans="2:5" ht="24" x14ac:dyDescent="0.2">
      <c r="B12" s="165" t="s">
        <v>780</v>
      </c>
      <c r="C12" s="78" t="s">
        <v>781</v>
      </c>
      <c r="D12" s="79" t="s">
        <v>782</v>
      </c>
      <c r="E12" s="154" t="s">
        <v>238</v>
      </c>
    </row>
    <row r="13" spans="2:5" x14ac:dyDescent="0.2">
      <c r="B13" s="155" t="s">
        <v>237</v>
      </c>
      <c r="C13" s="25">
        <f>COUNTIF(Demographics!S:S,"a")</f>
        <v>11</v>
      </c>
      <c r="D13" s="264">
        <f>COUNTIFS(Demographics!S:S,"a",Demographics!T:T,"a")</f>
        <v>10</v>
      </c>
      <c r="E13" s="156">
        <f t="shared" ref="E13:E17" si="1">D13/C13</f>
        <v>0.90909090909090906</v>
      </c>
    </row>
    <row r="14" spans="2:5" x14ac:dyDescent="0.2">
      <c r="B14" s="155" t="s">
        <v>64</v>
      </c>
      <c r="C14" s="25">
        <f>COUNTIF(Productive!S:S,"a")</f>
        <v>12</v>
      </c>
      <c r="D14" s="264">
        <f>COUNTIFS(Productive!S:S,"a",Productive!T:T,"a")</f>
        <v>11</v>
      </c>
      <c r="E14" s="156">
        <f t="shared" si="1"/>
        <v>0.91666666666666663</v>
      </c>
    </row>
    <row r="15" spans="2:5" x14ac:dyDescent="0.2">
      <c r="B15" s="155" t="s">
        <v>160</v>
      </c>
      <c r="C15" s="25">
        <f>COUNTIF(Inclusive!S:S,"a")</f>
        <v>30</v>
      </c>
      <c r="D15" s="264">
        <f>COUNTIFS(Inclusive!S:S,"a",Inclusive!T:T,"a")</f>
        <v>15</v>
      </c>
      <c r="E15" s="156">
        <f t="shared" si="1"/>
        <v>0.5</v>
      </c>
    </row>
    <row r="16" spans="2:5" x14ac:dyDescent="0.2">
      <c r="B16" s="155" t="s">
        <v>159</v>
      </c>
      <c r="C16" s="25">
        <f>COUNTIF(Sustainable!U:U,"a")</f>
        <v>22</v>
      </c>
      <c r="D16" s="264">
        <f>COUNTIFS(Sustainable!U:U,"a",Sustainable!V:V,"a")</f>
        <v>11</v>
      </c>
      <c r="E16" s="156">
        <f t="shared" si="1"/>
        <v>0.5</v>
      </c>
    </row>
    <row r="17" spans="2:8" ht="12.75" thickBot="1" x14ac:dyDescent="0.25">
      <c r="B17" s="158" t="s">
        <v>249</v>
      </c>
      <c r="C17" s="159">
        <f>COUNTIF('Well governed'!T:T,"a")</f>
        <v>29</v>
      </c>
      <c r="D17" s="265">
        <f>COUNTIFS('Well governed'!T:T,"a",'Well governed'!U:U,"a")</f>
        <v>19</v>
      </c>
      <c r="E17" s="157">
        <f t="shared" si="1"/>
        <v>0.65517241379310343</v>
      </c>
    </row>
    <row r="18" spans="2:8" ht="12.75" thickBot="1" x14ac:dyDescent="0.25">
      <c r="B18" s="160" t="s">
        <v>778</v>
      </c>
      <c r="C18" s="161">
        <f>SUM(C13:C17)</f>
        <v>104</v>
      </c>
      <c r="D18" s="161">
        <f>SUM(D13:D17)</f>
        <v>66</v>
      </c>
      <c r="E18" s="162">
        <f>D18/C18</f>
        <v>0.63461538461538458</v>
      </c>
    </row>
    <row r="20" spans="2:8" ht="12.75" thickBot="1" x14ac:dyDescent="0.25"/>
    <row r="21" spans="2:8" x14ac:dyDescent="0.2">
      <c r="B21" s="185" t="s">
        <v>788</v>
      </c>
      <c r="C21" s="182"/>
      <c r="D21" s="182"/>
      <c r="E21" s="182"/>
      <c r="F21" s="182"/>
      <c r="G21" s="182"/>
      <c r="H21" s="183"/>
    </row>
    <row r="22" spans="2:8" ht="12.75" x14ac:dyDescent="0.2">
      <c r="B22" s="199"/>
      <c r="C22" s="184"/>
      <c r="D22" s="184" t="s">
        <v>792</v>
      </c>
      <c r="E22" s="174"/>
      <c r="F22" s="174"/>
      <c r="G22" s="174"/>
      <c r="H22" s="175"/>
    </row>
    <row r="23" spans="2:8" x14ac:dyDescent="0.2">
      <c r="B23" s="200"/>
      <c r="C23" s="172" t="s">
        <v>784</v>
      </c>
      <c r="D23" s="172"/>
      <c r="E23" s="172"/>
      <c r="F23" s="179" t="s">
        <v>785</v>
      </c>
      <c r="G23" s="172"/>
      <c r="H23" s="177"/>
    </row>
    <row r="24" spans="2:8" ht="24" x14ac:dyDescent="0.2">
      <c r="B24" s="187"/>
      <c r="C24" s="210" t="s">
        <v>795</v>
      </c>
      <c r="D24" s="210" t="s">
        <v>789</v>
      </c>
      <c r="E24" s="210" t="s">
        <v>790</v>
      </c>
      <c r="F24" s="211" t="s">
        <v>791</v>
      </c>
      <c r="G24" s="210" t="s">
        <v>789</v>
      </c>
      <c r="H24" s="212" t="s">
        <v>786</v>
      </c>
    </row>
    <row r="25" spans="2:8" x14ac:dyDescent="0.2">
      <c r="B25" s="152" t="s">
        <v>1</v>
      </c>
      <c r="C25" s="253">
        <f>COUNTIF(Demographics!T:T,"a")</f>
        <v>18</v>
      </c>
      <c r="D25" s="254">
        <f>COUNTIF(Demographics!U:U,"a")</f>
        <v>1</v>
      </c>
      <c r="E25" s="255">
        <f>COUNTIF(Demographics!V:V,"a")</f>
        <v>0</v>
      </c>
      <c r="F25" s="256">
        <f>COUNTIF(Demographics!W:W,"a")</f>
        <v>0</v>
      </c>
      <c r="G25" s="255">
        <f>COUNTIF(Demographics!X:X,"a")</f>
        <v>0</v>
      </c>
      <c r="H25" s="257">
        <f>COUNTIF(Demographics!Y:Y,"a")</f>
        <v>0</v>
      </c>
    </row>
    <row r="26" spans="2:8" x14ac:dyDescent="0.2">
      <c r="B26" s="152" t="s">
        <v>64</v>
      </c>
      <c r="C26" s="258">
        <f>COUNTIF(Productive!T:T,"a")</f>
        <v>14</v>
      </c>
      <c r="D26" s="255">
        <f>COUNTIF(Productive!U:U,"a")</f>
        <v>16</v>
      </c>
      <c r="E26" s="255">
        <f>COUNTIF(Productive!V:V,"a")</f>
        <v>1</v>
      </c>
      <c r="F26" s="259">
        <f>COUNTIF(Productive!W:W,"a")</f>
        <v>0</v>
      </c>
      <c r="G26" s="255">
        <f>COUNTIF(Productive!X:X,"a")</f>
        <v>4</v>
      </c>
      <c r="H26" s="257">
        <f>COUNTIF(Productive!Y:Y,"a")</f>
        <v>0</v>
      </c>
    </row>
    <row r="27" spans="2:8" x14ac:dyDescent="0.2">
      <c r="B27" s="152" t="s">
        <v>160</v>
      </c>
      <c r="C27" s="258">
        <f>COUNTIF(Inclusive!T:T,"a")</f>
        <v>16</v>
      </c>
      <c r="D27" s="255">
        <f>COUNTIF(Inclusive!U:U,"a")</f>
        <v>36</v>
      </c>
      <c r="E27" s="255">
        <f>COUNTIF(Inclusive!V:V,"a")</f>
        <v>1</v>
      </c>
      <c r="F27" s="259">
        <f>COUNTIF(Inclusive!W:W,"a")</f>
        <v>0</v>
      </c>
      <c r="G27" s="255">
        <f>COUNTIF(Inclusive!X:X,"a")</f>
        <v>0</v>
      </c>
      <c r="H27" s="257">
        <f>COUNTIF(Inclusive!Y:Y,"a")</f>
        <v>0</v>
      </c>
    </row>
    <row r="28" spans="2:8" x14ac:dyDescent="0.2">
      <c r="B28" s="152" t="s">
        <v>159</v>
      </c>
      <c r="C28" s="258">
        <f>COUNTIF(Sustainable!V:V,"a")</f>
        <v>13</v>
      </c>
      <c r="D28" s="255">
        <f>COUNTIF(Sustainable!W:W,"a")</f>
        <v>24</v>
      </c>
      <c r="E28" s="255">
        <f>COUNTIF(Sustainable!X:X,"a")</f>
        <v>0</v>
      </c>
      <c r="F28" s="259">
        <f>COUNTIF(Sustainable!Y:Y,"a")</f>
        <v>0</v>
      </c>
      <c r="G28" s="255">
        <f>COUNTIF(Sustainable!Z:Z,"a")</f>
        <v>0</v>
      </c>
      <c r="H28" s="257">
        <f>COUNTIF(Sustainable!AA:AA,"a")</f>
        <v>0</v>
      </c>
    </row>
    <row r="29" spans="2:8" ht="12.75" thickBot="1" x14ac:dyDescent="0.25">
      <c r="B29" s="186" t="s">
        <v>249</v>
      </c>
      <c r="C29" s="260">
        <f>COUNTIF('Well governed'!U:U,"a")</f>
        <v>26</v>
      </c>
      <c r="D29" s="261">
        <f>COUNTIF('Well governed'!V:V,"a")</f>
        <v>41</v>
      </c>
      <c r="E29" s="261">
        <f>COUNTIF('Well governed'!W:W,"a")</f>
        <v>0</v>
      </c>
      <c r="F29" s="262">
        <f>COUNTIF('Well governed'!X:X,"a")</f>
        <v>0</v>
      </c>
      <c r="G29" s="261">
        <f>COUNTIF('Well governed'!Y:Y,"a")</f>
        <v>0</v>
      </c>
      <c r="H29" s="263">
        <f>COUNTIF('Well governed'!Z:Z,"a")</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4"/>
  <sheetViews>
    <sheetView zoomScale="90" zoomScaleNormal="90" zoomScaleSheetLayoutView="70" workbookViewId="0">
      <pane xSplit="2" ySplit="10" topLeftCell="Y23" activePane="bottomRight" state="frozen"/>
      <selection pane="topRight" activeCell="C1" sqref="C1"/>
      <selection pane="bottomLeft" activeCell="A11" sqref="A11"/>
      <selection pane="bottomRight" activeCell="AB37" sqref="AB37"/>
    </sheetView>
  </sheetViews>
  <sheetFormatPr defaultRowHeight="12" outlineLevelCol="1" x14ac:dyDescent="0.2"/>
  <cols>
    <col min="1" max="1" width="2.7109375" style="3" bestFit="1" customWidth="1"/>
    <col min="2" max="2" width="26.7109375" style="3" customWidth="1"/>
    <col min="3" max="3" width="29.7109375" style="3" customWidth="1"/>
    <col min="4" max="4" width="12.42578125" style="3" customWidth="1" outlineLevel="1"/>
    <col min="5" max="5" width="11.28515625" style="3" customWidth="1" outlineLevel="1"/>
    <col min="6" max="6" width="11.140625" style="3" customWidth="1" outlineLevel="1"/>
    <col min="7" max="7" width="10.7109375" style="3" customWidth="1" outlineLevel="1"/>
    <col min="8" max="8" width="26.85546875" style="3" customWidth="1"/>
    <col min="9" max="9" width="33" style="3" customWidth="1" outlineLevel="1"/>
    <col min="10" max="10" width="18.5703125" style="3" customWidth="1"/>
    <col min="11" max="11" width="13.5703125" style="3" customWidth="1" outlineLevel="1"/>
    <col min="12" max="12" width="10.85546875" style="3" customWidth="1" outlineLevel="1"/>
    <col min="13" max="13" width="13.28515625" style="3" customWidth="1" outlineLevel="1"/>
    <col min="14" max="14" width="10.7109375" style="3" customWidth="1" outlineLevel="1"/>
    <col min="15" max="15" width="13.7109375" style="3" customWidth="1" outlineLevel="1"/>
    <col min="16" max="16" width="14.140625" style="3" customWidth="1"/>
    <col min="17" max="17" width="13.28515625" style="3" customWidth="1"/>
    <col min="18" max="18" width="67.42578125" style="3" customWidth="1"/>
    <col min="19" max="19" width="11" style="3" customWidth="1" outlineLevel="1"/>
    <col min="20" max="25" width="9.7109375" style="3" customWidth="1"/>
    <col min="26" max="26" width="9.140625" style="3" customWidth="1"/>
    <col min="27" max="29" width="9.7109375" style="3" customWidth="1"/>
    <col min="30" max="49" width="9.140625" style="3" customWidth="1"/>
    <col min="50" max="50" width="10.7109375" style="3" customWidth="1"/>
    <col min="51" max="51" width="9.7109375" style="3" customWidth="1"/>
    <col min="52" max="52" width="8.85546875" style="3" customWidth="1"/>
    <col min="53" max="16384" width="9.140625" style="3"/>
  </cols>
  <sheetData>
    <row r="1" spans="1:52" s="1" customFormat="1" ht="8.2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2" s="1" customFormat="1"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52" s="1" customFormat="1" ht="8.2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52" s="1" customFormat="1" ht="18.75" x14ac:dyDescent="0.3">
      <c r="A4" s="2"/>
      <c r="B4" s="116" t="s">
        <v>0</v>
      </c>
      <c r="C4" s="117"/>
      <c r="D4" s="116"/>
      <c r="E4" s="117"/>
      <c r="F4" s="116"/>
      <c r="G4" s="116"/>
      <c r="H4" s="116"/>
      <c r="I4" s="116"/>
      <c r="J4" s="116"/>
      <c r="K4" s="116"/>
      <c r="L4" s="116"/>
      <c r="M4" s="116"/>
      <c r="N4" s="116"/>
      <c r="O4" s="116"/>
      <c r="P4" s="117"/>
      <c r="Q4" s="117"/>
      <c r="R4" s="117"/>
      <c r="S4" s="117"/>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row>
    <row r="5" spans="1:52" s="1" customFormat="1" ht="15" x14ac:dyDescent="0.25">
      <c r="A5" s="2"/>
      <c r="B5" s="118" t="s">
        <v>1</v>
      </c>
      <c r="C5" s="117"/>
      <c r="D5" s="117"/>
      <c r="E5" s="117"/>
      <c r="F5" s="118"/>
      <c r="G5" s="118"/>
      <c r="H5" s="118"/>
      <c r="I5" s="118"/>
      <c r="J5" s="118"/>
      <c r="K5" s="118"/>
      <c r="L5" s="118"/>
      <c r="M5" s="118"/>
      <c r="N5" s="118"/>
      <c r="O5" s="118"/>
      <c r="P5" s="117"/>
      <c r="Q5" s="117"/>
      <c r="R5" s="117"/>
      <c r="S5" s="117"/>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row>
    <row r="6" spans="1:52" s="1" customFormat="1" ht="8.2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52" s="1" customFormat="1" ht="8.25" customHeight="1" x14ac:dyDescent="0.25">
      <c r="A7" s="2"/>
      <c r="B7" s="2"/>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row>
    <row r="8" spans="1:52" s="171" customFormat="1" ht="11.25" customHeight="1" x14ac:dyDescent="0.25">
      <c r="A8" s="82"/>
      <c r="B8" s="82"/>
      <c r="C8" s="83"/>
      <c r="D8" s="83"/>
      <c r="E8" s="83"/>
      <c r="F8" s="83"/>
      <c r="G8" s="83"/>
      <c r="H8" s="83"/>
      <c r="I8" s="83"/>
      <c r="J8" s="83"/>
      <c r="K8" s="83"/>
      <c r="L8" s="83"/>
      <c r="M8" s="83"/>
      <c r="N8" s="83"/>
      <c r="O8" s="83"/>
      <c r="P8" s="83"/>
      <c r="Q8" s="83"/>
      <c r="R8" s="83"/>
      <c r="S8" s="83" t="s">
        <v>793</v>
      </c>
      <c r="T8" s="173" t="s">
        <v>783</v>
      </c>
      <c r="U8" s="174"/>
      <c r="V8" s="174"/>
      <c r="W8" s="174"/>
      <c r="X8" s="174"/>
      <c r="Y8" s="175"/>
      <c r="Z8" s="83"/>
      <c r="AA8" s="83"/>
      <c r="AB8" s="83"/>
      <c r="AC8" s="83"/>
      <c r="AD8" s="83"/>
      <c r="AE8" s="83"/>
      <c r="AF8" s="83"/>
      <c r="AG8" s="83"/>
      <c r="AH8" s="83"/>
      <c r="AI8" s="83"/>
      <c r="AJ8" s="83"/>
      <c r="AK8" s="83"/>
      <c r="AL8" s="83"/>
      <c r="AM8" s="83"/>
      <c r="AN8" s="83"/>
      <c r="AO8" s="83"/>
      <c r="AP8" s="83"/>
      <c r="AQ8" s="83"/>
      <c r="AR8" s="83"/>
      <c r="AS8" s="83"/>
      <c r="AT8" s="83"/>
      <c r="AU8" s="83"/>
      <c r="AV8" s="83"/>
      <c r="AW8" s="83"/>
    </row>
    <row r="9" spans="1:52" x14ac:dyDescent="0.2">
      <c r="A9" s="50"/>
      <c r="B9" s="577"/>
      <c r="C9" s="577"/>
      <c r="D9" s="577"/>
      <c r="E9" s="577"/>
      <c r="F9" s="577"/>
      <c r="G9" s="577"/>
      <c r="H9" s="577"/>
      <c r="I9" s="577"/>
      <c r="J9" s="577"/>
      <c r="K9" s="577"/>
      <c r="L9" s="577"/>
      <c r="M9" s="577"/>
      <c r="N9" s="577"/>
      <c r="O9" s="577"/>
      <c r="P9" s="577"/>
      <c r="Q9" s="577"/>
      <c r="R9" s="577"/>
      <c r="S9" s="577"/>
      <c r="T9" s="176" t="s">
        <v>784</v>
      </c>
      <c r="U9" s="172"/>
      <c r="V9" s="172"/>
      <c r="W9" s="179" t="s">
        <v>785</v>
      </c>
      <c r="X9" s="172"/>
      <c r="Y9" s="177"/>
      <c r="Z9" s="824" t="s">
        <v>3</v>
      </c>
      <c r="AA9" s="824"/>
      <c r="AB9" s="824"/>
      <c r="AC9" s="823" t="s">
        <v>4</v>
      </c>
      <c r="AD9" s="824"/>
      <c r="AE9" s="825"/>
      <c r="AF9" s="824" t="s">
        <v>5</v>
      </c>
      <c r="AG9" s="824"/>
      <c r="AH9" s="824"/>
      <c r="AI9" s="823" t="s">
        <v>251</v>
      </c>
      <c r="AJ9" s="824"/>
      <c r="AK9" s="825"/>
      <c r="AL9" s="824" t="s">
        <v>252</v>
      </c>
      <c r="AM9" s="824"/>
      <c r="AN9" s="824"/>
      <c r="AO9" s="823" t="s">
        <v>6</v>
      </c>
      <c r="AP9" s="824"/>
      <c r="AQ9" s="825"/>
      <c r="AR9" s="824" t="s">
        <v>8</v>
      </c>
      <c r="AS9" s="824"/>
      <c r="AT9" s="824"/>
      <c r="AU9" s="823" t="s">
        <v>7</v>
      </c>
      <c r="AV9" s="824"/>
      <c r="AW9" s="825"/>
      <c r="AX9" s="823" t="s">
        <v>799</v>
      </c>
      <c r="AY9" s="824"/>
      <c r="AZ9" s="825"/>
    </row>
    <row r="10" spans="1:52" s="15" customFormat="1" ht="24" x14ac:dyDescent="0.2">
      <c r="A10" s="166"/>
      <c r="B10" s="84" t="s">
        <v>261</v>
      </c>
      <c r="C10" s="167" t="s">
        <v>262</v>
      </c>
      <c r="D10" s="167" t="s">
        <v>263</v>
      </c>
      <c r="E10" s="167" t="s">
        <v>264</v>
      </c>
      <c r="F10" s="167" t="s">
        <v>265</v>
      </c>
      <c r="G10" s="167" t="s">
        <v>266</v>
      </c>
      <c r="H10" s="167" t="s">
        <v>267</v>
      </c>
      <c r="I10" s="167" t="s">
        <v>268</v>
      </c>
      <c r="J10" s="167" t="s">
        <v>269</v>
      </c>
      <c r="K10" s="167" t="s">
        <v>270</v>
      </c>
      <c r="L10" s="167" t="s">
        <v>271</v>
      </c>
      <c r="M10" s="167" t="s">
        <v>342</v>
      </c>
      <c r="N10" s="167" t="s">
        <v>341</v>
      </c>
      <c r="O10" s="167" t="s">
        <v>272</v>
      </c>
      <c r="P10" s="84" t="s">
        <v>273</v>
      </c>
      <c r="Q10" s="84" t="s">
        <v>274</v>
      </c>
      <c r="R10" s="84" t="s">
        <v>275</v>
      </c>
      <c r="S10" s="188"/>
      <c r="T10" s="209" t="s">
        <v>795</v>
      </c>
      <c r="U10" s="210" t="s">
        <v>789</v>
      </c>
      <c r="V10" s="210" t="s">
        <v>790</v>
      </c>
      <c r="W10" s="211" t="s">
        <v>791</v>
      </c>
      <c r="X10" s="210" t="s">
        <v>789</v>
      </c>
      <c r="Y10" s="212" t="s">
        <v>786</v>
      </c>
      <c r="Z10" s="677">
        <v>1996</v>
      </c>
      <c r="AA10" s="677">
        <v>2001</v>
      </c>
      <c r="AB10" s="677">
        <v>2011</v>
      </c>
      <c r="AC10" s="678">
        <v>1996</v>
      </c>
      <c r="AD10" s="677">
        <v>2001</v>
      </c>
      <c r="AE10" s="679">
        <v>2011</v>
      </c>
      <c r="AF10" s="677">
        <v>1996</v>
      </c>
      <c r="AG10" s="677">
        <v>2001</v>
      </c>
      <c r="AH10" s="677">
        <v>2011</v>
      </c>
      <c r="AI10" s="678">
        <v>1996</v>
      </c>
      <c r="AJ10" s="677">
        <v>2001</v>
      </c>
      <c r="AK10" s="679">
        <v>2011</v>
      </c>
      <c r="AL10" s="677">
        <v>1996</v>
      </c>
      <c r="AM10" s="677">
        <v>2001</v>
      </c>
      <c r="AN10" s="677">
        <v>2011</v>
      </c>
      <c r="AO10" s="678">
        <v>1996</v>
      </c>
      <c r="AP10" s="677">
        <v>2001</v>
      </c>
      <c r="AQ10" s="679">
        <v>2011</v>
      </c>
      <c r="AR10" s="677">
        <v>1996</v>
      </c>
      <c r="AS10" s="677">
        <v>2001</v>
      </c>
      <c r="AT10" s="677">
        <v>2011</v>
      </c>
      <c r="AU10" s="678">
        <v>1996</v>
      </c>
      <c r="AV10" s="677">
        <v>2001</v>
      </c>
      <c r="AW10" s="679">
        <v>2011</v>
      </c>
      <c r="AX10" s="678">
        <v>1996</v>
      </c>
      <c r="AY10" s="677">
        <v>2001</v>
      </c>
      <c r="AZ10" s="679">
        <v>2011</v>
      </c>
    </row>
    <row r="11" spans="1:52" ht="60" x14ac:dyDescent="0.2">
      <c r="A11" s="85">
        <v>1</v>
      </c>
      <c r="B11" s="87" t="s">
        <v>2</v>
      </c>
      <c r="C11" s="87" t="s">
        <v>276</v>
      </c>
      <c r="D11" s="86" t="s">
        <v>277</v>
      </c>
      <c r="E11" s="86" t="s">
        <v>278</v>
      </c>
      <c r="F11" s="86"/>
      <c r="G11" s="86" t="s">
        <v>279</v>
      </c>
      <c r="H11" s="87" t="s">
        <v>280</v>
      </c>
      <c r="I11" s="87" t="s">
        <v>281</v>
      </c>
      <c r="J11" s="87" t="s">
        <v>282</v>
      </c>
      <c r="K11" s="86" t="s">
        <v>283</v>
      </c>
      <c r="L11" s="86" t="s">
        <v>284</v>
      </c>
      <c r="M11" s="86" t="s">
        <v>285</v>
      </c>
      <c r="N11" s="86" t="s">
        <v>286</v>
      </c>
      <c r="O11" s="86" t="s">
        <v>287</v>
      </c>
      <c r="P11" s="87" t="s">
        <v>288</v>
      </c>
      <c r="Q11" s="87" t="s">
        <v>289</v>
      </c>
      <c r="R11" s="87" t="s">
        <v>923</v>
      </c>
      <c r="S11" s="189" t="s">
        <v>794</v>
      </c>
      <c r="T11" s="213" t="s">
        <v>794</v>
      </c>
      <c r="U11" s="189"/>
      <c r="V11" s="189"/>
      <c r="W11" s="214"/>
      <c r="X11" s="189"/>
      <c r="Y11" s="215"/>
      <c r="Z11" s="89">
        <v>2597282</v>
      </c>
      <c r="AA11" s="89">
        <v>3226055</v>
      </c>
      <c r="AB11" s="89">
        <v>4434827</v>
      </c>
      <c r="AC11" s="88">
        <v>1770330</v>
      </c>
      <c r="AD11" s="89">
        <v>2142322</v>
      </c>
      <c r="AE11" s="90">
        <v>2921488</v>
      </c>
      <c r="AF11" s="89">
        <v>2534877</v>
      </c>
      <c r="AG11" s="89">
        <v>2892243</v>
      </c>
      <c r="AH11" s="89">
        <v>3740026</v>
      </c>
      <c r="AI11" s="88">
        <v>2718180</v>
      </c>
      <c r="AJ11" s="89">
        <v>3090122</v>
      </c>
      <c r="AK11" s="90">
        <v>3442361</v>
      </c>
      <c r="AL11" s="89">
        <v>2026978</v>
      </c>
      <c r="AM11" s="89">
        <v>2481762</v>
      </c>
      <c r="AN11" s="89">
        <v>3178470</v>
      </c>
      <c r="AO11" s="88">
        <v>959299</v>
      </c>
      <c r="AP11" s="89">
        <v>1005779</v>
      </c>
      <c r="AQ11" s="90">
        <v>1152116</v>
      </c>
      <c r="AR11" s="89">
        <v>685727</v>
      </c>
      <c r="AS11" s="89">
        <v>704855</v>
      </c>
      <c r="AT11" s="89">
        <v>755200</v>
      </c>
      <c r="AU11" s="88">
        <v>603528</v>
      </c>
      <c r="AV11" s="89">
        <v>645440</v>
      </c>
      <c r="AW11" s="90">
        <v>747431</v>
      </c>
      <c r="AX11" s="301">
        <v>273830</v>
      </c>
      <c r="AY11" s="306">
        <v>552837</v>
      </c>
      <c r="AZ11" s="307">
        <v>552837</v>
      </c>
    </row>
    <row r="12" spans="1:52" ht="36" x14ac:dyDescent="0.2">
      <c r="A12" s="85">
        <v>2</v>
      </c>
      <c r="B12" s="87" t="s">
        <v>24</v>
      </c>
      <c r="C12" s="87" t="s">
        <v>290</v>
      </c>
      <c r="D12" s="86" t="s">
        <v>277</v>
      </c>
      <c r="E12" s="86" t="s">
        <v>278</v>
      </c>
      <c r="F12" s="86"/>
      <c r="G12" s="86" t="s">
        <v>279</v>
      </c>
      <c r="H12" s="87" t="s">
        <v>280</v>
      </c>
      <c r="I12" s="87" t="s">
        <v>281</v>
      </c>
      <c r="J12" s="87" t="s">
        <v>282</v>
      </c>
      <c r="K12" s="86" t="s">
        <v>283</v>
      </c>
      <c r="L12" s="86" t="s">
        <v>291</v>
      </c>
      <c r="M12" s="86" t="s">
        <v>285</v>
      </c>
      <c r="N12" s="86" t="s">
        <v>286</v>
      </c>
      <c r="O12" s="86" t="s">
        <v>292</v>
      </c>
      <c r="P12" s="87" t="s">
        <v>293</v>
      </c>
      <c r="Q12" s="87" t="s">
        <v>289</v>
      </c>
      <c r="R12" s="87" t="s">
        <v>294</v>
      </c>
      <c r="S12" s="189" t="s">
        <v>794</v>
      </c>
      <c r="T12" s="213" t="s">
        <v>794</v>
      </c>
      <c r="U12" s="189"/>
      <c r="V12" s="189"/>
      <c r="W12" s="214"/>
      <c r="X12" s="189"/>
      <c r="Y12" s="215"/>
      <c r="Z12" s="92"/>
      <c r="AA12" s="89"/>
      <c r="AB12" s="91">
        <v>2696</v>
      </c>
      <c r="AC12" s="85"/>
      <c r="AD12" s="92"/>
      <c r="AE12" s="93">
        <v>464</v>
      </c>
      <c r="AF12" s="92"/>
      <c r="AG12" s="92"/>
      <c r="AH12" s="92">
        <v>1530</v>
      </c>
      <c r="AI12" s="85"/>
      <c r="AJ12" s="92"/>
      <c r="AK12" s="93">
        <v>1502</v>
      </c>
      <c r="AL12" s="92"/>
      <c r="AM12" s="92"/>
      <c r="AN12" s="92">
        <v>1609</v>
      </c>
      <c r="AO12" s="85"/>
      <c r="AP12" s="92"/>
      <c r="AQ12" s="93">
        <v>588</v>
      </c>
      <c r="AR12" s="92"/>
      <c r="AS12" s="92"/>
      <c r="AT12" s="92">
        <v>298</v>
      </c>
      <c r="AU12" s="85"/>
      <c r="AV12" s="92"/>
      <c r="AW12" s="93">
        <v>119</v>
      </c>
      <c r="AX12" s="247"/>
      <c r="AY12" s="247"/>
      <c r="AZ12" s="305">
        <v>976</v>
      </c>
    </row>
    <row r="13" spans="1:52" ht="48" x14ac:dyDescent="0.2">
      <c r="A13" s="85">
        <v>3</v>
      </c>
      <c r="B13" s="87" t="s">
        <v>9</v>
      </c>
      <c r="C13" s="87" t="s">
        <v>295</v>
      </c>
      <c r="D13" s="86" t="s">
        <v>277</v>
      </c>
      <c r="E13" s="86" t="s">
        <v>278</v>
      </c>
      <c r="F13" s="86"/>
      <c r="G13" s="86" t="s">
        <v>279</v>
      </c>
      <c r="H13" s="87" t="s">
        <v>296</v>
      </c>
      <c r="I13" s="87" t="s">
        <v>297</v>
      </c>
      <c r="J13" s="87" t="s">
        <v>298</v>
      </c>
      <c r="K13" s="86" t="s">
        <v>299</v>
      </c>
      <c r="L13" s="86" t="s">
        <v>300</v>
      </c>
      <c r="M13" s="86" t="s">
        <v>285</v>
      </c>
      <c r="N13" s="86" t="s">
        <v>286</v>
      </c>
      <c r="O13" s="86" t="s">
        <v>292</v>
      </c>
      <c r="P13" s="87" t="s">
        <v>301</v>
      </c>
      <c r="Q13" s="87" t="s">
        <v>289</v>
      </c>
      <c r="R13" s="87" t="s">
        <v>924</v>
      </c>
      <c r="S13" s="189" t="s">
        <v>794</v>
      </c>
      <c r="T13" s="213" t="s">
        <v>794</v>
      </c>
      <c r="U13" s="189"/>
      <c r="V13" s="189"/>
      <c r="W13" s="214"/>
      <c r="X13" s="189"/>
      <c r="Y13" s="215"/>
      <c r="Z13" s="89">
        <v>732845</v>
      </c>
      <c r="AA13" s="89">
        <v>1006910</v>
      </c>
      <c r="AB13" s="91">
        <v>1434856</v>
      </c>
      <c r="AC13" s="88">
        <v>459122</v>
      </c>
      <c r="AD13" s="89">
        <v>606025</v>
      </c>
      <c r="AE13" s="90">
        <v>911536</v>
      </c>
      <c r="AF13" s="89">
        <v>651755</v>
      </c>
      <c r="AG13" s="89">
        <v>759485</v>
      </c>
      <c r="AH13" s="89">
        <v>1068573</v>
      </c>
      <c r="AI13" s="88">
        <v>646345</v>
      </c>
      <c r="AJ13" s="89">
        <v>786746</v>
      </c>
      <c r="AK13" s="90">
        <v>956713</v>
      </c>
      <c r="AL13" s="89">
        <v>542719</v>
      </c>
      <c r="AM13" s="89">
        <v>745576</v>
      </c>
      <c r="AN13" s="89">
        <v>1015465</v>
      </c>
      <c r="AO13" s="88">
        <v>225677</v>
      </c>
      <c r="AP13" s="89">
        <v>260779</v>
      </c>
      <c r="AQ13" s="90">
        <v>324292</v>
      </c>
      <c r="AR13" s="89">
        <v>161167</v>
      </c>
      <c r="AS13" s="89">
        <v>191958</v>
      </c>
      <c r="AT13" s="89">
        <v>223568</v>
      </c>
      <c r="AU13" s="88">
        <v>153203</v>
      </c>
      <c r="AV13" s="89">
        <v>185013</v>
      </c>
      <c r="AW13" s="90">
        <v>231921</v>
      </c>
      <c r="AX13" s="301">
        <v>508592</v>
      </c>
      <c r="AY13" s="301">
        <v>535971</v>
      </c>
      <c r="AZ13" s="302">
        <v>596184</v>
      </c>
    </row>
    <row r="14" spans="1:52" ht="48" x14ac:dyDescent="0.2">
      <c r="A14" s="85">
        <v>4</v>
      </c>
      <c r="B14" s="87" t="s">
        <v>25</v>
      </c>
      <c r="C14" s="87" t="s">
        <v>302</v>
      </c>
      <c r="D14" s="86" t="s">
        <v>277</v>
      </c>
      <c r="E14" s="86" t="s">
        <v>278</v>
      </c>
      <c r="F14" s="86"/>
      <c r="G14" s="86" t="s">
        <v>279</v>
      </c>
      <c r="H14" s="87" t="s">
        <v>280</v>
      </c>
      <c r="I14" s="87" t="s">
        <v>281</v>
      </c>
      <c r="J14" s="87" t="s">
        <v>282</v>
      </c>
      <c r="K14" s="86" t="s">
        <v>283</v>
      </c>
      <c r="L14" s="86" t="s">
        <v>303</v>
      </c>
      <c r="M14" s="86" t="s">
        <v>285</v>
      </c>
      <c r="N14" s="86" t="s">
        <v>286</v>
      </c>
      <c r="O14" s="86" t="s">
        <v>292</v>
      </c>
      <c r="P14" s="87" t="s">
        <v>293</v>
      </c>
      <c r="Q14" s="87" t="s">
        <v>238</v>
      </c>
      <c r="R14" s="87" t="s">
        <v>304</v>
      </c>
      <c r="S14" s="189" t="s">
        <v>794</v>
      </c>
      <c r="T14" s="213" t="s">
        <v>794</v>
      </c>
      <c r="U14" s="189"/>
      <c r="V14" s="189"/>
      <c r="W14" s="214"/>
      <c r="X14" s="189"/>
      <c r="Y14" s="215"/>
      <c r="Z14" s="97" t="s">
        <v>26</v>
      </c>
      <c r="AA14" s="95">
        <v>0.04</v>
      </c>
      <c r="AB14" s="95">
        <v>3.2000000000000001E-2</v>
      </c>
      <c r="AC14" s="290" t="s">
        <v>26</v>
      </c>
      <c r="AD14" s="95">
        <v>3.5999999999999997E-2</v>
      </c>
      <c r="AE14" s="96">
        <v>3.1E-2</v>
      </c>
      <c r="AF14" s="97" t="s">
        <v>26</v>
      </c>
      <c r="AG14" s="98">
        <v>2.4E-2</v>
      </c>
      <c r="AH14" s="98">
        <v>2.5999999999999999E-2</v>
      </c>
      <c r="AI14" s="290" t="s">
        <v>26</v>
      </c>
      <c r="AJ14" s="95">
        <v>2.3E-2</v>
      </c>
      <c r="AK14" s="96">
        <v>1.0999999999999999E-2</v>
      </c>
      <c r="AL14" s="97" t="s">
        <v>26</v>
      </c>
      <c r="AM14" s="99">
        <v>0.04</v>
      </c>
      <c r="AN14" s="98">
        <v>2.5000000000000001E-2</v>
      </c>
      <c r="AO14" s="290" t="s">
        <v>26</v>
      </c>
      <c r="AP14" s="95">
        <v>7.0000000000000001E-3</v>
      </c>
      <c r="AQ14" s="96">
        <v>1.4E-2</v>
      </c>
      <c r="AR14" s="97" t="s">
        <v>26</v>
      </c>
      <c r="AS14" s="95">
        <v>6.0000000000000001E-3</v>
      </c>
      <c r="AT14" s="95">
        <v>7.0000000000000001E-3</v>
      </c>
      <c r="AU14" s="290" t="s">
        <v>26</v>
      </c>
      <c r="AV14" s="95">
        <v>1.2999999999999999E-2</v>
      </c>
      <c r="AW14" s="96">
        <v>1.4999999999999999E-2</v>
      </c>
      <c r="AX14" s="303" t="s">
        <v>26</v>
      </c>
      <c r="AY14" s="272">
        <v>1.0999999999999999E-2</v>
      </c>
      <c r="AZ14" s="304">
        <v>1.0999999999999999E-2</v>
      </c>
    </row>
    <row r="15" spans="1:52" s="398" customFormat="1" ht="48" x14ac:dyDescent="0.2">
      <c r="A15" s="390">
        <v>5</v>
      </c>
      <c r="B15" s="391" t="s">
        <v>10</v>
      </c>
      <c r="C15" s="391" t="s">
        <v>305</v>
      </c>
      <c r="D15" s="392" t="s">
        <v>277</v>
      </c>
      <c r="E15" s="392" t="s">
        <v>278</v>
      </c>
      <c r="F15" s="392"/>
      <c r="G15" s="392" t="s">
        <v>306</v>
      </c>
      <c r="H15" s="391" t="s">
        <v>280</v>
      </c>
      <c r="I15" s="391" t="s">
        <v>281</v>
      </c>
      <c r="J15" s="391" t="s">
        <v>282</v>
      </c>
      <c r="K15" s="392" t="s">
        <v>283</v>
      </c>
      <c r="L15" s="392"/>
      <c r="M15" s="392" t="s">
        <v>285</v>
      </c>
      <c r="N15" s="392" t="s">
        <v>286</v>
      </c>
      <c r="O15" s="392" t="s">
        <v>292</v>
      </c>
      <c r="P15" s="391" t="s">
        <v>307</v>
      </c>
      <c r="Q15" s="391" t="s">
        <v>289</v>
      </c>
      <c r="R15" s="536" t="s">
        <v>867</v>
      </c>
      <c r="S15" s="393" t="s">
        <v>794</v>
      </c>
      <c r="T15" s="394"/>
      <c r="U15" s="393" t="s">
        <v>794</v>
      </c>
      <c r="V15" s="393"/>
      <c r="W15" s="395"/>
      <c r="X15" s="393"/>
      <c r="Y15" s="396"/>
      <c r="Z15" s="392"/>
      <c r="AA15" s="392"/>
      <c r="AB15" s="392"/>
      <c r="AC15" s="390"/>
      <c r="AD15" s="392"/>
      <c r="AE15" s="397"/>
      <c r="AF15" s="392"/>
      <c r="AG15" s="392"/>
      <c r="AH15" s="392"/>
      <c r="AI15" s="390"/>
      <c r="AJ15" s="392"/>
      <c r="AK15" s="397"/>
      <c r="AL15" s="392"/>
      <c r="AM15" s="392"/>
      <c r="AN15" s="392"/>
      <c r="AO15" s="390"/>
      <c r="AP15" s="392"/>
      <c r="AQ15" s="397"/>
      <c r="AR15" s="392"/>
      <c r="AS15" s="392"/>
      <c r="AT15" s="392"/>
      <c r="AU15" s="390"/>
      <c r="AV15" s="392"/>
      <c r="AW15" s="397"/>
      <c r="AX15" s="401"/>
      <c r="AY15" s="401"/>
      <c r="AZ15" s="402"/>
    </row>
    <row r="16" spans="1:52" ht="36" x14ac:dyDescent="0.2">
      <c r="A16" s="85">
        <v>6</v>
      </c>
      <c r="B16" s="101" t="s">
        <v>11</v>
      </c>
      <c r="C16" s="101" t="s">
        <v>308</v>
      </c>
      <c r="D16" s="100" t="s">
        <v>277</v>
      </c>
      <c r="E16" s="100" t="s">
        <v>278</v>
      </c>
      <c r="F16" s="100"/>
      <c r="G16" s="100" t="s">
        <v>279</v>
      </c>
      <c r="H16" s="101" t="s">
        <v>280</v>
      </c>
      <c r="I16" s="101" t="s">
        <v>281</v>
      </c>
      <c r="J16" s="101" t="s">
        <v>282</v>
      </c>
      <c r="K16" s="100" t="s">
        <v>283</v>
      </c>
      <c r="L16" s="100" t="s">
        <v>309</v>
      </c>
      <c r="M16" s="100" t="s">
        <v>285</v>
      </c>
      <c r="N16" s="100" t="s">
        <v>286</v>
      </c>
      <c r="O16" s="100" t="s">
        <v>292</v>
      </c>
      <c r="P16" s="101" t="s">
        <v>288</v>
      </c>
      <c r="Q16" s="101" t="s">
        <v>289</v>
      </c>
      <c r="R16" s="101"/>
      <c r="S16" s="190"/>
      <c r="T16" s="216" t="s">
        <v>794</v>
      </c>
      <c r="U16" s="190"/>
      <c r="V16" s="190"/>
      <c r="W16" s="217"/>
      <c r="X16" s="190"/>
      <c r="Y16" s="218"/>
      <c r="Z16" s="103">
        <v>1298409</v>
      </c>
      <c r="AA16" s="103">
        <v>1607200</v>
      </c>
      <c r="AB16" s="103">
        <v>2209690</v>
      </c>
      <c r="AC16" s="102">
        <v>889575</v>
      </c>
      <c r="AD16" s="103">
        <v>1081141</v>
      </c>
      <c r="AE16" s="104">
        <v>1468005</v>
      </c>
      <c r="AF16" s="103">
        <v>1309609</v>
      </c>
      <c r="AG16" s="103">
        <v>1503499</v>
      </c>
      <c r="AH16" s="103">
        <v>1909327</v>
      </c>
      <c r="AI16" s="102">
        <v>1394449</v>
      </c>
      <c r="AJ16" s="103">
        <v>1605084</v>
      </c>
      <c r="AK16" s="104">
        <v>1759955</v>
      </c>
      <c r="AL16" s="103">
        <v>993127</v>
      </c>
      <c r="AM16" s="103">
        <v>1222438</v>
      </c>
      <c r="AN16" s="103">
        <v>1550747</v>
      </c>
      <c r="AO16" s="102">
        <v>500265</v>
      </c>
      <c r="AP16" s="103">
        <v>525947</v>
      </c>
      <c r="AQ16" s="104">
        <v>552994</v>
      </c>
      <c r="AR16" s="103">
        <v>362004</v>
      </c>
      <c r="AS16" s="103">
        <v>374295</v>
      </c>
      <c r="AT16" s="103">
        <v>396644</v>
      </c>
      <c r="AU16" s="102">
        <v>318465</v>
      </c>
      <c r="AV16" s="103">
        <v>338442</v>
      </c>
      <c r="AW16" s="104">
        <v>385245</v>
      </c>
      <c r="AX16" s="308">
        <v>276763</v>
      </c>
      <c r="AY16" s="308">
        <v>293804</v>
      </c>
      <c r="AZ16" s="309">
        <v>324082</v>
      </c>
    </row>
    <row r="17" spans="1:52" ht="36" x14ac:dyDescent="0.2">
      <c r="A17" s="85">
        <v>7</v>
      </c>
      <c r="B17" s="101" t="s">
        <v>12</v>
      </c>
      <c r="C17" s="101" t="s">
        <v>310</v>
      </c>
      <c r="D17" s="100" t="s">
        <v>277</v>
      </c>
      <c r="E17" s="100" t="s">
        <v>278</v>
      </c>
      <c r="F17" s="100"/>
      <c r="G17" s="100" t="s">
        <v>279</v>
      </c>
      <c r="H17" s="101" t="s">
        <v>280</v>
      </c>
      <c r="I17" s="101" t="s">
        <v>281</v>
      </c>
      <c r="J17" s="101" t="s">
        <v>282</v>
      </c>
      <c r="K17" s="100" t="s">
        <v>283</v>
      </c>
      <c r="L17" s="100" t="s">
        <v>309</v>
      </c>
      <c r="M17" s="100" t="s">
        <v>285</v>
      </c>
      <c r="N17" s="100" t="s">
        <v>286</v>
      </c>
      <c r="O17" s="100" t="s">
        <v>292</v>
      </c>
      <c r="P17" s="101" t="s">
        <v>288</v>
      </c>
      <c r="Q17" s="101" t="s">
        <v>289</v>
      </c>
      <c r="R17" s="101"/>
      <c r="S17" s="190"/>
      <c r="T17" s="216" t="s">
        <v>794</v>
      </c>
      <c r="U17" s="190"/>
      <c r="V17" s="190"/>
      <c r="W17" s="217"/>
      <c r="X17" s="190"/>
      <c r="Y17" s="218"/>
      <c r="Z17" s="103">
        <v>1298873</v>
      </c>
      <c r="AA17" s="103">
        <v>2597282</v>
      </c>
      <c r="AB17" s="103">
        <v>2225137</v>
      </c>
      <c r="AC17" s="102">
        <v>880756</v>
      </c>
      <c r="AD17" s="103">
        <v>1061181</v>
      </c>
      <c r="AE17" s="104">
        <v>1453483</v>
      </c>
      <c r="AF17" s="103">
        <v>1225268</v>
      </c>
      <c r="AG17" s="103">
        <v>1388744</v>
      </c>
      <c r="AH17" s="103">
        <v>1830699</v>
      </c>
      <c r="AI17" s="102">
        <v>1323731</v>
      </c>
      <c r="AJ17" s="103">
        <v>1485038</v>
      </c>
      <c r="AK17" s="104">
        <v>1682406</v>
      </c>
      <c r="AL17" s="103">
        <v>1033851</v>
      </c>
      <c r="AM17" s="103">
        <v>1259324</v>
      </c>
      <c r="AN17" s="103">
        <v>1627724</v>
      </c>
      <c r="AO17" s="102">
        <v>459034</v>
      </c>
      <c r="AP17" s="103">
        <v>479829</v>
      </c>
      <c r="AQ17" s="104">
        <v>599120</v>
      </c>
      <c r="AR17" s="103">
        <v>323723</v>
      </c>
      <c r="AS17" s="103">
        <v>330559</v>
      </c>
      <c r="AT17" s="103">
        <v>358557</v>
      </c>
      <c r="AU17" s="102">
        <v>285063</v>
      </c>
      <c r="AV17" s="103">
        <v>306999</v>
      </c>
      <c r="AW17" s="104">
        <v>362186</v>
      </c>
      <c r="AX17" s="308">
        <v>247503</v>
      </c>
      <c r="AY17" s="308">
        <v>259033</v>
      </c>
      <c r="AZ17" s="309">
        <v>294454</v>
      </c>
    </row>
    <row r="18" spans="1:52" ht="36" x14ac:dyDescent="0.2">
      <c r="A18" s="85">
        <v>8</v>
      </c>
      <c r="B18" s="101" t="s">
        <v>13</v>
      </c>
      <c r="C18" s="101" t="s">
        <v>311</v>
      </c>
      <c r="D18" s="100" t="s">
        <v>277</v>
      </c>
      <c r="E18" s="100" t="s">
        <v>278</v>
      </c>
      <c r="F18" s="100"/>
      <c r="G18" s="100" t="s">
        <v>306</v>
      </c>
      <c r="H18" s="101" t="s">
        <v>280</v>
      </c>
      <c r="I18" s="101" t="s">
        <v>281</v>
      </c>
      <c r="J18" s="101" t="s">
        <v>282</v>
      </c>
      <c r="K18" s="100" t="s">
        <v>283</v>
      </c>
      <c r="L18" s="100" t="s">
        <v>312</v>
      </c>
      <c r="M18" s="100" t="s">
        <v>285</v>
      </c>
      <c r="N18" s="100" t="s">
        <v>286</v>
      </c>
      <c r="O18" s="100" t="s">
        <v>292</v>
      </c>
      <c r="P18" s="101" t="s">
        <v>313</v>
      </c>
      <c r="Q18" s="101" t="s">
        <v>293</v>
      </c>
      <c r="R18" s="101"/>
      <c r="S18" s="190"/>
      <c r="T18" s="216" t="s">
        <v>794</v>
      </c>
      <c r="U18" s="190"/>
      <c r="V18" s="190"/>
      <c r="W18" s="217"/>
      <c r="X18" s="190"/>
      <c r="Y18" s="218"/>
      <c r="Z18" s="106">
        <v>100</v>
      </c>
      <c r="AA18" s="106">
        <v>99</v>
      </c>
      <c r="AB18" s="106">
        <v>101</v>
      </c>
      <c r="AC18" s="105">
        <v>99</v>
      </c>
      <c r="AD18" s="106">
        <v>98</v>
      </c>
      <c r="AE18" s="107">
        <v>99</v>
      </c>
      <c r="AF18" s="103">
        <v>94</v>
      </c>
      <c r="AG18" s="103">
        <v>92</v>
      </c>
      <c r="AH18" s="103">
        <v>96</v>
      </c>
      <c r="AI18" s="102">
        <v>95</v>
      </c>
      <c r="AJ18" s="103">
        <v>93</v>
      </c>
      <c r="AK18" s="104">
        <v>98</v>
      </c>
      <c r="AL18" s="103">
        <v>104</v>
      </c>
      <c r="AM18" s="103">
        <v>103</v>
      </c>
      <c r="AN18" s="103">
        <v>105</v>
      </c>
      <c r="AO18" s="105">
        <v>92</v>
      </c>
      <c r="AP18" s="106">
        <v>91</v>
      </c>
      <c r="AQ18" s="107">
        <v>92</v>
      </c>
      <c r="AR18" s="103">
        <v>89</v>
      </c>
      <c r="AS18" s="103">
        <v>88</v>
      </c>
      <c r="AT18" s="103">
        <v>90</v>
      </c>
      <c r="AU18" s="102">
        <v>90</v>
      </c>
      <c r="AV18" s="103">
        <v>91</v>
      </c>
      <c r="AW18" s="104">
        <v>94</v>
      </c>
      <c r="AX18" s="311">
        <v>89</v>
      </c>
      <c r="AY18" s="311">
        <v>88</v>
      </c>
      <c r="AZ18" s="312">
        <v>91</v>
      </c>
    </row>
    <row r="19" spans="1:52" ht="48" x14ac:dyDescent="0.2">
      <c r="A19" s="85">
        <v>9</v>
      </c>
      <c r="B19" s="101" t="s">
        <v>14</v>
      </c>
      <c r="C19" s="101" t="s">
        <v>314</v>
      </c>
      <c r="D19" s="100" t="s">
        <v>277</v>
      </c>
      <c r="E19" s="100" t="s">
        <v>278</v>
      </c>
      <c r="F19" s="100"/>
      <c r="G19" s="100" t="s">
        <v>279</v>
      </c>
      <c r="H19" s="101" t="s">
        <v>280</v>
      </c>
      <c r="I19" s="101" t="s">
        <v>281</v>
      </c>
      <c r="J19" s="101" t="s">
        <v>282</v>
      </c>
      <c r="K19" s="100" t="s">
        <v>283</v>
      </c>
      <c r="L19" s="100" t="s">
        <v>312</v>
      </c>
      <c r="M19" s="100" t="s">
        <v>285</v>
      </c>
      <c r="N19" s="100" t="s">
        <v>286</v>
      </c>
      <c r="O19" s="100" t="s">
        <v>292</v>
      </c>
      <c r="P19" s="101" t="s">
        <v>313</v>
      </c>
      <c r="Q19" s="101" t="s">
        <v>293</v>
      </c>
      <c r="R19" s="101"/>
      <c r="S19" s="190"/>
      <c r="T19" s="216" t="s">
        <v>794</v>
      </c>
      <c r="U19" s="190"/>
      <c r="V19" s="190"/>
      <c r="W19" s="217"/>
      <c r="X19" s="190"/>
      <c r="Y19" s="218"/>
      <c r="Z19" s="106">
        <v>41.1</v>
      </c>
      <c r="AA19" s="106">
        <v>36.6</v>
      </c>
      <c r="AB19" s="106">
        <v>37.6</v>
      </c>
      <c r="AC19" s="105">
        <v>46.6</v>
      </c>
      <c r="AD19" s="106">
        <v>40.9</v>
      </c>
      <c r="AE19" s="108">
        <v>39</v>
      </c>
      <c r="AF19" s="109">
        <v>50.5</v>
      </c>
      <c r="AG19" s="109">
        <v>46.3</v>
      </c>
      <c r="AH19" s="109">
        <v>43.6</v>
      </c>
      <c r="AI19" s="110">
        <v>48.3</v>
      </c>
      <c r="AJ19" s="109">
        <v>46.7</v>
      </c>
      <c r="AK19" s="108">
        <v>42.8</v>
      </c>
      <c r="AL19" s="109">
        <v>42.9</v>
      </c>
      <c r="AM19" s="109">
        <v>38.700000000000003</v>
      </c>
      <c r="AN19" s="109">
        <v>39</v>
      </c>
      <c r="AO19" s="105">
        <v>50.2</v>
      </c>
      <c r="AP19" s="106">
        <v>45.9</v>
      </c>
      <c r="AQ19" s="107">
        <v>46</v>
      </c>
      <c r="AR19" s="109">
        <v>55</v>
      </c>
      <c r="AS19" s="109">
        <v>48.3</v>
      </c>
      <c r="AT19" s="109">
        <v>47.9</v>
      </c>
      <c r="AU19" s="110">
        <v>52.6</v>
      </c>
      <c r="AV19" s="109">
        <v>50.4</v>
      </c>
      <c r="AW19" s="108">
        <v>47.4</v>
      </c>
      <c r="AX19" s="311" t="s">
        <v>816</v>
      </c>
      <c r="AY19" s="311" t="s">
        <v>817</v>
      </c>
      <c r="AZ19" s="312" t="s">
        <v>818</v>
      </c>
    </row>
    <row r="20" spans="1:52" ht="36" x14ac:dyDescent="0.2">
      <c r="A20" s="85">
        <v>10</v>
      </c>
      <c r="B20" s="101" t="s">
        <v>15</v>
      </c>
      <c r="C20" s="101" t="s">
        <v>315</v>
      </c>
      <c r="D20" s="100" t="s">
        <v>277</v>
      </c>
      <c r="E20" s="100" t="s">
        <v>278</v>
      </c>
      <c r="F20" s="100"/>
      <c r="G20" s="100" t="s">
        <v>279</v>
      </c>
      <c r="H20" s="101" t="s">
        <v>280</v>
      </c>
      <c r="I20" s="101" t="s">
        <v>281</v>
      </c>
      <c r="J20" s="101" t="s">
        <v>282</v>
      </c>
      <c r="K20" s="100" t="s">
        <v>283</v>
      </c>
      <c r="L20" s="100"/>
      <c r="M20" s="100" t="s">
        <v>285</v>
      </c>
      <c r="N20" s="100" t="s">
        <v>286</v>
      </c>
      <c r="O20" s="100" t="s">
        <v>292</v>
      </c>
      <c r="P20" s="101" t="s">
        <v>288</v>
      </c>
      <c r="Q20" s="101" t="s">
        <v>316</v>
      </c>
      <c r="R20" s="101"/>
      <c r="S20" s="190"/>
      <c r="T20" s="216" t="s">
        <v>794</v>
      </c>
      <c r="U20" s="190"/>
      <c r="V20" s="190"/>
      <c r="W20" s="217"/>
      <c r="X20" s="190"/>
      <c r="Y20" s="218"/>
      <c r="Z20" s="103">
        <v>640727</v>
      </c>
      <c r="AA20" s="103">
        <v>733593</v>
      </c>
      <c r="AB20" s="103">
        <v>1028812</v>
      </c>
      <c r="AC20" s="102">
        <v>481986</v>
      </c>
      <c r="AD20" s="103">
        <v>527740</v>
      </c>
      <c r="AE20" s="104">
        <v>677110</v>
      </c>
      <c r="AF20" s="103">
        <v>722969</v>
      </c>
      <c r="AG20" s="103">
        <v>770749</v>
      </c>
      <c r="AH20" s="103">
        <v>928329</v>
      </c>
      <c r="AI20" s="102">
        <v>773020</v>
      </c>
      <c r="AJ20" s="103">
        <v>854525</v>
      </c>
      <c r="AK20" s="104">
        <v>866280</v>
      </c>
      <c r="AL20" s="103">
        <v>529178</v>
      </c>
      <c r="AM20" s="103">
        <v>609793</v>
      </c>
      <c r="AN20" s="103">
        <v>772463</v>
      </c>
      <c r="AO20" s="102">
        <v>273060</v>
      </c>
      <c r="AP20" s="103">
        <v>263240</v>
      </c>
      <c r="AQ20" s="104">
        <v>294270</v>
      </c>
      <c r="AR20" s="103">
        <v>206325</v>
      </c>
      <c r="AS20" s="103">
        <v>192802</v>
      </c>
      <c r="AT20" s="103">
        <v>199315</v>
      </c>
      <c r="AU20" s="102">
        <v>176385</v>
      </c>
      <c r="AV20" s="103">
        <v>183621</v>
      </c>
      <c r="AW20" s="104">
        <v>200821</v>
      </c>
      <c r="AX20" s="308">
        <v>153234</v>
      </c>
      <c r="AY20" s="308">
        <v>161380</v>
      </c>
      <c r="AZ20" s="309">
        <v>164614</v>
      </c>
    </row>
    <row r="21" spans="1:52" ht="36" x14ac:dyDescent="0.2">
      <c r="A21" s="85">
        <v>11</v>
      </c>
      <c r="B21" s="101" t="s">
        <v>16</v>
      </c>
      <c r="C21" s="101" t="s">
        <v>317</v>
      </c>
      <c r="D21" s="100" t="s">
        <v>277</v>
      </c>
      <c r="E21" s="100" t="s">
        <v>278</v>
      </c>
      <c r="F21" s="100"/>
      <c r="G21" s="100" t="s">
        <v>279</v>
      </c>
      <c r="H21" s="101" t="s">
        <v>280</v>
      </c>
      <c r="I21" s="101" t="s">
        <v>281</v>
      </c>
      <c r="J21" s="101" t="s">
        <v>282</v>
      </c>
      <c r="K21" s="100" t="s">
        <v>283</v>
      </c>
      <c r="L21" s="100"/>
      <c r="M21" s="100" t="s">
        <v>285</v>
      </c>
      <c r="N21" s="100" t="s">
        <v>286</v>
      </c>
      <c r="O21" s="100" t="s">
        <v>292</v>
      </c>
      <c r="P21" s="101" t="s">
        <v>288</v>
      </c>
      <c r="Q21" s="101" t="s">
        <v>316</v>
      </c>
      <c r="R21" s="101"/>
      <c r="S21" s="190"/>
      <c r="T21" s="216" t="s">
        <v>794</v>
      </c>
      <c r="U21" s="190"/>
      <c r="V21" s="190"/>
      <c r="W21" s="217"/>
      <c r="X21" s="190"/>
      <c r="Y21" s="218"/>
      <c r="Z21" s="103">
        <v>494136</v>
      </c>
      <c r="AA21" s="103">
        <v>633782</v>
      </c>
      <c r="AB21" s="103">
        <v>816528</v>
      </c>
      <c r="AC21" s="102">
        <v>349220</v>
      </c>
      <c r="AD21" s="103">
        <v>432895</v>
      </c>
      <c r="AE21" s="111">
        <v>569421</v>
      </c>
      <c r="AF21" s="112">
        <v>486890</v>
      </c>
      <c r="AG21" s="112">
        <v>577785</v>
      </c>
      <c r="AH21" s="112">
        <v>686859</v>
      </c>
      <c r="AI21" s="102">
        <v>570456</v>
      </c>
      <c r="AJ21" s="103">
        <v>654817</v>
      </c>
      <c r="AK21" s="104">
        <v>731265</v>
      </c>
      <c r="AL21" s="113">
        <v>375976</v>
      </c>
      <c r="AM21" s="113">
        <v>477480</v>
      </c>
      <c r="AN21" s="113">
        <v>585432</v>
      </c>
      <c r="AO21" s="102">
        <v>191450</v>
      </c>
      <c r="AP21" s="103">
        <v>203340</v>
      </c>
      <c r="AQ21" s="104">
        <v>216262</v>
      </c>
      <c r="AR21" s="106">
        <v>146615</v>
      </c>
      <c r="AS21" s="106">
        <v>153768</v>
      </c>
      <c r="AT21" s="106">
        <v>124155</v>
      </c>
      <c r="AU21" s="114">
        <v>125768</v>
      </c>
      <c r="AV21" s="112">
        <v>133368</v>
      </c>
      <c r="AW21" s="111">
        <v>155602</v>
      </c>
      <c r="AX21" s="313">
        <v>116617</v>
      </c>
      <c r="AY21" s="313">
        <v>117985</v>
      </c>
      <c r="AZ21" s="314">
        <v>133714</v>
      </c>
    </row>
    <row r="22" spans="1:52" ht="36" x14ac:dyDescent="0.2">
      <c r="A22" s="85">
        <v>12</v>
      </c>
      <c r="B22" s="101" t="s">
        <v>17</v>
      </c>
      <c r="C22" s="101" t="s">
        <v>318</v>
      </c>
      <c r="D22" s="100" t="s">
        <v>277</v>
      </c>
      <c r="E22" s="100" t="s">
        <v>278</v>
      </c>
      <c r="F22" s="100"/>
      <c r="G22" s="100" t="s">
        <v>279</v>
      </c>
      <c r="H22" s="101" t="s">
        <v>280</v>
      </c>
      <c r="I22" s="101" t="s">
        <v>281</v>
      </c>
      <c r="J22" s="101" t="s">
        <v>282</v>
      </c>
      <c r="K22" s="100" t="s">
        <v>283</v>
      </c>
      <c r="L22" s="100"/>
      <c r="M22" s="100" t="s">
        <v>285</v>
      </c>
      <c r="N22" s="100" t="s">
        <v>286</v>
      </c>
      <c r="O22" s="100" t="s">
        <v>292</v>
      </c>
      <c r="P22" s="101" t="s">
        <v>288</v>
      </c>
      <c r="Q22" s="101" t="s">
        <v>316</v>
      </c>
      <c r="R22" s="101"/>
      <c r="S22" s="190"/>
      <c r="T22" s="216" t="s">
        <v>794</v>
      </c>
      <c r="U22" s="190"/>
      <c r="V22" s="190"/>
      <c r="W22" s="217"/>
      <c r="X22" s="190"/>
      <c r="Y22" s="218"/>
      <c r="Z22" s="103">
        <v>1346021</v>
      </c>
      <c r="AA22" s="103">
        <v>1727289</v>
      </c>
      <c r="AB22" s="103">
        <v>2405078</v>
      </c>
      <c r="AC22" s="102">
        <v>858345</v>
      </c>
      <c r="AD22" s="103">
        <v>1087191</v>
      </c>
      <c r="AE22" s="111">
        <v>1532054</v>
      </c>
      <c r="AF22" s="112">
        <v>1196969</v>
      </c>
      <c r="AG22" s="112">
        <v>1399568</v>
      </c>
      <c r="AH22" s="112">
        <v>1917351</v>
      </c>
      <c r="AI22" s="102">
        <v>1262796</v>
      </c>
      <c r="AJ22" s="103">
        <v>1451851</v>
      </c>
      <c r="AK22" s="104">
        <v>1679423</v>
      </c>
      <c r="AL22" s="113">
        <v>1021507</v>
      </c>
      <c r="AM22" s="113">
        <v>1306952</v>
      </c>
      <c r="AN22" s="113">
        <v>1694011</v>
      </c>
      <c r="AO22" s="102">
        <v>447072</v>
      </c>
      <c r="AP22" s="103">
        <v>486233</v>
      </c>
      <c r="AQ22" s="104">
        <v>572951</v>
      </c>
      <c r="AR22" s="106">
        <v>350423</v>
      </c>
      <c r="AS22" s="106">
        <v>375726</v>
      </c>
      <c r="AT22" s="106">
        <v>420983</v>
      </c>
      <c r="AU22" s="114">
        <v>265206</v>
      </c>
      <c r="AV22" s="112">
        <v>295841</v>
      </c>
      <c r="AW22" s="111">
        <v>351320</v>
      </c>
      <c r="AX22" s="313">
        <v>224758</v>
      </c>
      <c r="AY22" s="313">
        <v>247040</v>
      </c>
      <c r="AZ22" s="314">
        <v>289223</v>
      </c>
    </row>
    <row r="23" spans="1:52" ht="36" x14ac:dyDescent="0.2">
      <c r="A23" s="85">
        <v>13</v>
      </c>
      <c r="B23" s="101" t="s">
        <v>18</v>
      </c>
      <c r="C23" s="101" t="s">
        <v>319</v>
      </c>
      <c r="D23" s="100" t="s">
        <v>277</v>
      </c>
      <c r="E23" s="100" t="s">
        <v>278</v>
      </c>
      <c r="F23" s="100"/>
      <c r="G23" s="100" t="s">
        <v>279</v>
      </c>
      <c r="H23" s="101" t="s">
        <v>280</v>
      </c>
      <c r="I23" s="101" t="s">
        <v>281</v>
      </c>
      <c r="J23" s="101" t="s">
        <v>282</v>
      </c>
      <c r="K23" s="100" t="s">
        <v>283</v>
      </c>
      <c r="L23" s="100"/>
      <c r="M23" s="100" t="s">
        <v>285</v>
      </c>
      <c r="N23" s="100" t="s">
        <v>286</v>
      </c>
      <c r="O23" s="100" t="s">
        <v>292</v>
      </c>
      <c r="P23" s="101" t="s">
        <v>288</v>
      </c>
      <c r="Q23" s="101" t="s">
        <v>316</v>
      </c>
      <c r="R23" s="101"/>
      <c r="S23" s="190"/>
      <c r="T23" s="216" t="s">
        <v>794</v>
      </c>
      <c r="U23" s="190"/>
      <c r="V23" s="190"/>
      <c r="W23" s="217"/>
      <c r="X23" s="190"/>
      <c r="Y23" s="218"/>
      <c r="Z23" s="103">
        <v>116398</v>
      </c>
      <c r="AA23" s="103">
        <v>131390</v>
      </c>
      <c r="AB23" s="103">
        <v>183409</v>
      </c>
      <c r="AC23" s="102">
        <v>80779</v>
      </c>
      <c r="AD23" s="103">
        <v>94496</v>
      </c>
      <c r="AE23" s="104">
        <v>142904</v>
      </c>
      <c r="AF23" s="103">
        <v>128048</v>
      </c>
      <c r="AG23" s="103">
        <v>144141</v>
      </c>
      <c r="AH23" s="103">
        <v>207487</v>
      </c>
      <c r="AI23" s="102">
        <v>111909</v>
      </c>
      <c r="AJ23" s="103">
        <v>128928</v>
      </c>
      <c r="AK23" s="104">
        <v>165393</v>
      </c>
      <c r="AL23" s="103">
        <v>74496</v>
      </c>
      <c r="AM23" s="103">
        <v>87538</v>
      </c>
      <c r="AN23" s="103">
        <v>126554</v>
      </c>
      <c r="AO23" s="102">
        <v>47719</v>
      </c>
      <c r="AP23" s="103">
        <v>52966</v>
      </c>
      <c r="AQ23" s="104">
        <v>68633</v>
      </c>
      <c r="AR23" s="103">
        <v>31876</v>
      </c>
      <c r="AS23" s="103">
        <v>34491</v>
      </c>
      <c r="AT23" s="103">
        <v>41403</v>
      </c>
      <c r="AU23" s="114">
        <v>29111</v>
      </c>
      <c r="AV23" s="112">
        <v>32613</v>
      </c>
      <c r="AW23" s="111">
        <v>39687</v>
      </c>
      <c r="AX23" s="308">
        <v>24031</v>
      </c>
      <c r="AY23" s="308">
        <v>26458</v>
      </c>
      <c r="AZ23" s="309">
        <v>30986</v>
      </c>
    </row>
    <row r="24" spans="1:52" s="16" customFormat="1" ht="36" x14ac:dyDescent="0.2">
      <c r="A24" s="444">
        <v>14</v>
      </c>
      <c r="B24" s="87" t="s">
        <v>19</v>
      </c>
      <c r="C24" s="87" t="s">
        <v>320</v>
      </c>
      <c r="D24" s="86" t="s">
        <v>277</v>
      </c>
      <c r="E24" s="86" t="s">
        <v>321</v>
      </c>
      <c r="F24" s="86"/>
      <c r="G24" s="86" t="s">
        <v>279</v>
      </c>
      <c r="H24" s="87" t="s">
        <v>322</v>
      </c>
      <c r="I24" s="87" t="s">
        <v>323</v>
      </c>
      <c r="J24" s="87" t="s">
        <v>324</v>
      </c>
      <c r="K24" s="86" t="s">
        <v>325</v>
      </c>
      <c r="L24" s="86"/>
      <c r="M24" s="86" t="s">
        <v>917</v>
      </c>
      <c r="N24" s="86" t="s">
        <v>326</v>
      </c>
      <c r="O24" s="86" t="s">
        <v>292</v>
      </c>
      <c r="P24" s="87" t="s">
        <v>313</v>
      </c>
      <c r="Q24" s="87" t="s">
        <v>293</v>
      </c>
      <c r="R24" s="87" t="s">
        <v>976</v>
      </c>
      <c r="S24" s="189" t="s">
        <v>794</v>
      </c>
      <c r="T24" s="213" t="s">
        <v>794</v>
      </c>
      <c r="U24" s="189"/>
      <c r="V24" s="189"/>
      <c r="W24" s="214"/>
      <c r="X24" s="189"/>
      <c r="Y24" s="215"/>
      <c r="Z24" s="815" t="s">
        <v>240</v>
      </c>
      <c r="AA24" s="816"/>
      <c r="AB24" s="817"/>
      <c r="AC24" s="818" t="s">
        <v>246</v>
      </c>
      <c r="AD24" s="816"/>
      <c r="AE24" s="817"/>
      <c r="AF24" s="818" t="s">
        <v>250</v>
      </c>
      <c r="AG24" s="816"/>
      <c r="AH24" s="817"/>
      <c r="AI24" s="818" t="s">
        <v>242</v>
      </c>
      <c r="AJ24" s="816"/>
      <c r="AK24" s="817"/>
      <c r="AL24" s="819" t="s">
        <v>848</v>
      </c>
      <c r="AM24" s="820"/>
      <c r="AN24" s="821"/>
      <c r="AO24" s="818" t="s">
        <v>243</v>
      </c>
      <c r="AP24" s="816"/>
      <c r="AQ24" s="817"/>
      <c r="AR24" s="818" t="s">
        <v>239</v>
      </c>
      <c r="AS24" s="816"/>
      <c r="AT24" s="817"/>
      <c r="AU24" s="818" t="s">
        <v>245</v>
      </c>
      <c r="AV24" s="816"/>
      <c r="AW24" s="817"/>
      <c r="AX24" s="818" t="s">
        <v>244</v>
      </c>
      <c r="AY24" s="816"/>
      <c r="AZ24" s="817"/>
    </row>
    <row r="25" spans="1:52" s="16" customFormat="1" ht="15.75" x14ac:dyDescent="0.2">
      <c r="A25" s="444"/>
      <c r="B25" s="87"/>
      <c r="C25" s="87"/>
      <c r="D25" s="86"/>
      <c r="E25" s="86"/>
      <c r="F25" s="86"/>
      <c r="G25" s="86"/>
      <c r="H25" s="87"/>
      <c r="I25" s="87"/>
      <c r="J25" s="87"/>
      <c r="K25" s="86"/>
      <c r="L25" s="86"/>
      <c r="M25" s="86"/>
      <c r="N25" s="86"/>
      <c r="O25" s="86"/>
      <c r="P25" s="87"/>
      <c r="Q25" s="87"/>
      <c r="R25" s="87"/>
      <c r="S25" s="189"/>
      <c r="T25" s="213"/>
      <c r="U25" s="189"/>
      <c r="V25" s="189"/>
      <c r="W25" s="214"/>
      <c r="X25" s="189"/>
      <c r="Y25" s="215"/>
      <c r="Z25" s="677">
        <v>1996</v>
      </c>
      <c r="AA25" s="677">
        <v>2001</v>
      </c>
      <c r="AB25" s="677">
        <v>2011</v>
      </c>
      <c r="AC25" s="678">
        <v>1996</v>
      </c>
      <c r="AD25" s="677">
        <v>2001</v>
      </c>
      <c r="AE25" s="679">
        <v>2011</v>
      </c>
      <c r="AF25" s="677">
        <v>1996</v>
      </c>
      <c r="AG25" s="677">
        <v>2001</v>
      </c>
      <c r="AH25" s="677">
        <v>2011</v>
      </c>
      <c r="AI25" s="678">
        <v>1996</v>
      </c>
      <c r="AJ25" s="677">
        <v>2001</v>
      </c>
      <c r="AK25" s="679">
        <v>2011</v>
      </c>
      <c r="AL25" s="677">
        <v>1996</v>
      </c>
      <c r="AM25" s="677">
        <v>2001</v>
      </c>
      <c r="AN25" s="677">
        <v>2011</v>
      </c>
      <c r="AO25" s="678">
        <v>1996</v>
      </c>
      <c r="AP25" s="677">
        <v>2001</v>
      </c>
      <c r="AQ25" s="679">
        <v>2011</v>
      </c>
      <c r="AR25" s="677">
        <v>1996</v>
      </c>
      <c r="AS25" s="677">
        <v>2001</v>
      </c>
      <c r="AT25" s="677">
        <v>2011</v>
      </c>
      <c r="AU25" s="678">
        <v>1996</v>
      </c>
      <c r="AV25" s="677">
        <v>2001</v>
      </c>
      <c r="AW25" s="679">
        <v>2011</v>
      </c>
      <c r="AX25" s="678">
        <v>1996</v>
      </c>
      <c r="AY25" s="677">
        <v>2001</v>
      </c>
      <c r="AZ25" s="679">
        <v>2011</v>
      </c>
    </row>
    <row r="26" spans="1:52" s="16" customFormat="1" ht="15.75" customHeight="1" x14ac:dyDescent="0.2">
      <c r="A26" s="444"/>
      <c r="B26" s="87"/>
      <c r="C26" s="87"/>
      <c r="D26" s="86"/>
      <c r="E26" s="86"/>
      <c r="F26" s="86"/>
      <c r="G26" s="86"/>
      <c r="H26" s="87"/>
      <c r="I26" s="87"/>
      <c r="J26" s="87"/>
      <c r="K26" s="86"/>
      <c r="L26" s="86"/>
      <c r="M26" s="86"/>
      <c r="N26" s="86"/>
      <c r="O26" s="86"/>
      <c r="P26" s="87"/>
      <c r="Q26" s="87"/>
      <c r="R26" s="87"/>
      <c r="S26" s="189"/>
      <c r="T26" s="213"/>
      <c r="U26" s="189"/>
      <c r="V26" s="189"/>
      <c r="W26" s="214"/>
      <c r="X26" s="189"/>
      <c r="Y26" s="215"/>
      <c r="Z26" s="538" t="s">
        <v>26</v>
      </c>
      <c r="AA26" s="538" t="s">
        <v>26</v>
      </c>
      <c r="AB26" s="551">
        <v>303823</v>
      </c>
      <c r="AC26" s="538" t="s">
        <v>26</v>
      </c>
      <c r="AD26" s="538" t="s">
        <v>26</v>
      </c>
      <c r="AE26" s="552">
        <v>-278261</v>
      </c>
      <c r="AF26" s="538" t="s">
        <v>26</v>
      </c>
      <c r="AG26" s="538" t="s">
        <v>26</v>
      </c>
      <c r="AH26" s="551">
        <v>-6735</v>
      </c>
      <c r="AI26" s="538" t="s">
        <v>26</v>
      </c>
      <c r="AJ26" s="538" t="s">
        <v>26</v>
      </c>
      <c r="AK26" s="551">
        <v>-24301</v>
      </c>
      <c r="AL26" s="538" t="s">
        <v>26</v>
      </c>
      <c r="AM26" s="538" t="s">
        <v>26</v>
      </c>
      <c r="AN26" s="551">
        <v>-30684</v>
      </c>
      <c r="AO26" s="538" t="s">
        <v>26</v>
      </c>
      <c r="AP26" s="538" t="s">
        <v>26</v>
      </c>
      <c r="AQ26" s="552">
        <v>107169</v>
      </c>
      <c r="AR26" s="538" t="s">
        <v>26</v>
      </c>
      <c r="AS26" s="538" t="s">
        <v>26</v>
      </c>
      <c r="AT26" s="551">
        <v>1037871</v>
      </c>
      <c r="AU26" s="538" t="s">
        <v>26</v>
      </c>
      <c r="AV26" s="538" t="s">
        <v>26</v>
      </c>
      <c r="AW26" s="552">
        <v>52845</v>
      </c>
      <c r="AX26" s="538" t="s">
        <v>26</v>
      </c>
      <c r="AY26" s="538" t="s">
        <v>26</v>
      </c>
      <c r="AZ26" s="552">
        <v>-152857</v>
      </c>
    </row>
    <row r="27" spans="1:52" s="16" customFormat="1" ht="11.25" customHeight="1" x14ac:dyDescent="0.2">
      <c r="A27" s="444"/>
      <c r="B27" s="87"/>
      <c r="C27" s="87"/>
      <c r="D27" s="86"/>
      <c r="E27" s="86"/>
      <c r="F27" s="86"/>
      <c r="G27" s="86"/>
      <c r="H27" s="87"/>
      <c r="I27" s="87"/>
      <c r="J27" s="87"/>
      <c r="K27" s="86"/>
      <c r="L27" s="86"/>
      <c r="M27" s="86"/>
      <c r="N27" s="86"/>
      <c r="O27" s="86"/>
      <c r="P27" s="87"/>
      <c r="Q27" s="87"/>
      <c r="R27" s="87"/>
      <c r="S27" s="189"/>
      <c r="T27" s="213"/>
      <c r="U27" s="189"/>
      <c r="V27" s="189"/>
      <c r="W27" s="214"/>
      <c r="X27" s="189"/>
      <c r="Y27" s="215"/>
      <c r="Z27" s="538"/>
      <c r="AA27" s="538"/>
      <c r="AB27" s="551"/>
      <c r="AC27" s="538"/>
      <c r="AD27" s="538"/>
      <c r="AE27" s="595"/>
      <c r="AF27" s="538"/>
      <c r="AG27" s="538"/>
      <c r="AH27" s="551"/>
      <c r="AI27" s="538"/>
      <c r="AJ27" s="538"/>
      <c r="AK27" s="551"/>
      <c r="AL27" s="538"/>
      <c r="AM27" s="538"/>
      <c r="AN27" s="551"/>
      <c r="AO27" s="538"/>
      <c r="AP27" s="538"/>
      <c r="AQ27" s="595"/>
      <c r="AR27" s="538"/>
      <c r="AS27" s="538"/>
      <c r="AT27" s="551"/>
      <c r="AU27" s="538"/>
      <c r="AV27" s="538"/>
      <c r="AW27" s="595"/>
      <c r="AX27" s="538"/>
      <c r="AY27" s="538"/>
      <c r="AZ27" s="595"/>
    </row>
    <row r="28" spans="1:52" ht="18.75" customHeight="1" x14ac:dyDescent="0.2">
      <c r="A28" s="560"/>
      <c r="B28" s="576"/>
      <c r="C28" s="576"/>
      <c r="D28" s="576"/>
      <c r="E28" s="576"/>
      <c r="F28" s="576"/>
      <c r="G28" s="576"/>
      <c r="H28" s="576"/>
      <c r="I28" s="576"/>
      <c r="J28" s="576"/>
      <c r="K28" s="576"/>
      <c r="L28" s="576"/>
      <c r="M28" s="576"/>
      <c r="N28" s="576"/>
      <c r="O28" s="576"/>
      <c r="P28" s="576"/>
      <c r="Q28" s="576"/>
      <c r="R28" s="576"/>
      <c r="S28" s="602"/>
      <c r="T28" s="601"/>
      <c r="U28" s="598"/>
      <c r="V28" s="600"/>
      <c r="W28" s="599"/>
      <c r="X28" s="598"/>
      <c r="Y28" s="597"/>
      <c r="Z28" s="824" t="s">
        <v>3</v>
      </c>
      <c r="AA28" s="824"/>
      <c r="AB28" s="824"/>
      <c r="AC28" s="823" t="s">
        <v>4</v>
      </c>
      <c r="AD28" s="824"/>
      <c r="AE28" s="825"/>
      <c r="AF28" s="824" t="s">
        <v>5</v>
      </c>
      <c r="AG28" s="824"/>
      <c r="AH28" s="824"/>
      <c r="AI28" s="823" t="s">
        <v>251</v>
      </c>
      <c r="AJ28" s="824"/>
      <c r="AK28" s="825"/>
      <c r="AL28" s="824" t="s">
        <v>252</v>
      </c>
      <c r="AM28" s="824"/>
      <c r="AN28" s="824"/>
      <c r="AO28" s="826" t="s">
        <v>1011</v>
      </c>
      <c r="AP28" s="827"/>
      <c r="AQ28" s="828"/>
      <c r="AR28" s="824" t="s">
        <v>8</v>
      </c>
      <c r="AS28" s="824"/>
      <c r="AT28" s="824"/>
      <c r="AU28" s="823" t="s">
        <v>7</v>
      </c>
      <c r="AV28" s="824"/>
      <c r="AW28" s="825"/>
      <c r="AX28" s="823" t="s">
        <v>799</v>
      </c>
      <c r="AY28" s="824"/>
      <c r="AZ28" s="825"/>
    </row>
    <row r="29" spans="1:52" s="16" customFormat="1" ht="75" customHeight="1" x14ac:dyDescent="0.2">
      <c r="A29" s="444">
        <v>15</v>
      </c>
      <c r="B29" s="87" t="s">
        <v>20</v>
      </c>
      <c r="C29" s="87" t="s">
        <v>327</v>
      </c>
      <c r="D29" s="86" t="s">
        <v>277</v>
      </c>
      <c r="E29" s="86" t="s">
        <v>321</v>
      </c>
      <c r="F29" s="86"/>
      <c r="G29" s="86" t="s">
        <v>279</v>
      </c>
      <c r="H29" s="87" t="s">
        <v>322</v>
      </c>
      <c r="I29" s="87" t="s">
        <v>323</v>
      </c>
      <c r="J29" s="87" t="s">
        <v>324</v>
      </c>
      <c r="K29" s="86" t="s">
        <v>325</v>
      </c>
      <c r="L29" s="86"/>
      <c r="M29" s="86" t="s">
        <v>285</v>
      </c>
      <c r="N29" s="86" t="s">
        <v>326</v>
      </c>
      <c r="O29" s="86" t="s">
        <v>292</v>
      </c>
      <c r="P29" s="87" t="s">
        <v>313</v>
      </c>
      <c r="Q29" s="87" t="s">
        <v>316</v>
      </c>
      <c r="R29" s="87" t="s">
        <v>1012</v>
      </c>
      <c r="S29" s="215" t="s">
        <v>794</v>
      </c>
      <c r="T29" s="213" t="s">
        <v>794</v>
      </c>
      <c r="U29" s="189"/>
      <c r="V29" s="189"/>
      <c r="W29" s="214"/>
      <c r="X29" s="189"/>
      <c r="Y29" s="215"/>
      <c r="Z29" s="677">
        <v>1996</v>
      </c>
      <c r="AA29" s="677">
        <v>2001</v>
      </c>
      <c r="AB29" s="679">
        <v>2011</v>
      </c>
      <c r="AC29" s="677">
        <v>1996</v>
      </c>
      <c r="AD29" s="677">
        <v>2001</v>
      </c>
      <c r="AE29" s="679">
        <v>2011</v>
      </c>
      <c r="AF29" s="677">
        <v>1996</v>
      </c>
      <c r="AG29" s="677">
        <v>2001</v>
      </c>
      <c r="AH29" s="677">
        <v>2011</v>
      </c>
      <c r="AI29" s="678">
        <v>1996</v>
      </c>
      <c r="AJ29" s="677">
        <v>2001</v>
      </c>
      <c r="AK29" s="679">
        <v>2011</v>
      </c>
      <c r="AL29" s="677">
        <v>1996</v>
      </c>
      <c r="AM29" s="677">
        <v>2001</v>
      </c>
      <c r="AN29" s="677">
        <v>2011</v>
      </c>
      <c r="AO29" s="678">
        <v>1996</v>
      </c>
      <c r="AP29" s="677">
        <v>2001</v>
      </c>
      <c r="AQ29" s="679">
        <v>2011</v>
      </c>
      <c r="AR29" s="677">
        <v>1996</v>
      </c>
      <c r="AS29" s="677">
        <v>2001</v>
      </c>
      <c r="AT29" s="677">
        <v>2011</v>
      </c>
      <c r="AU29" s="678">
        <v>1996</v>
      </c>
      <c r="AV29" s="677">
        <v>2001</v>
      </c>
      <c r="AW29" s="679">
        <v>2011</v>
      </c>
      <c r="AX29" s="678">
        <v>1996</v>
      </c>
      <c r="AY29" s="677">
        <v>2001</v>
      </c>
      <c r="AZ29" s="679">
        <v>2011</v>
      </c>
    </row>
    <row r="30" spans="1:52" ht="15.75" x14ac:dyDescent="0.2">
      <c r="A30" s="85"/>
      <c r="B30" s="87"/>
      <c r="C30" s="87"/>
      <c r="D30" s="86"/>
      <c r="E30" s="86"/>
      <c r="F30" s="86"/>
      <c r="G30" s="86"/>
      <c r="H30" s="87"/>
      <c r="I30" s="87"/>
      <c r="J30" s="87"/>
      <c r="K30" s="86"/>
      <c r="L30" s="86"/>
      <c r="M30" s="86"/>
      <c r="N30" s="86"/>
      <c r="O30" s="86"/>
      <c r="P30" s="87"/>
      <c r="Q30" s="87"/>
      <c r="R30" s="87"/>
      <c r="S30" s="189"/>
      <c r="T30" s="213"/>
      <c r="U30" s="189"/>
      <c r="V30" s="189"/>
      <c r="W30" s="214"/>
      <c r="X30" s="189"/>
      <c r="Y30" s="215"/>
      <c r="Z30" s="538" t="s">
        <v>26</v>
      </c>
      <c r="AA30" s="538" t="s">
        <v>26</v>
      </c>
      <c r="AB30" s="684">
        <v>153.779235933774</v>
      </c>
      <c r="AC30" s="538" t="s">
        <v>26</v>
      </c>
      <c r="AD30" s="538" t="s">
        <v>26</v>
      </c>
      <c r="AE30" s="594">
        <v>102.37937050549944</v>
      </c>
      <c r="AF30" s="538" t="s">
        <v>26</v>
      </c>
      <c r="AG30" s="538" t="s">
        <v>26</v>
      </c>
      <c r="AH30" s="594">
        <v>88.238714981851714</v>
      </c>
      <c r="AI30" s="538" t="s">
        <v>26</v>
      </c>
      <c r="AJ30" s="538" t="s">
        <v>26</v>
      </c>
      <c r="AK30" s="594">
        <v>60.099141229190892</v>
      </c>
      <c r="AL30" s="538" t="s">
        <v>26</v>
      </c>
      <c r="AM30" s="538" t="s">
        <v>26</v>
      </c>
      <c r="AN30" s="594">
        <v>100.71355085937573</v>
      </c>
      <c r="AO30" s="538" t="s">
        <v>26</v>
      </c>
      <c r="AP30" s="538" t="s">
        <v>26</v>
      </c>
      <c r="AQ30" s="594">
        <v>50.05494247965045</v>
      </c>
      <c r="AR30" s="538" t="s">
        <v>26</v>
      </c>
      <c r="AS30" s="538" t="s">
        <v>26</v>
      </c>
      <c r="AT30" s="594">
        <v>53.985556182319435</v>
      </c>
      <c r="AU30" s="538" t="s">
        <v>26</v>
      </c>
      <c r="AV30" s="538" t="s">
        <v>26</v>
      </c>
      <c r="AW30" s="594">
        <v>65.512577114347991</v>
      </c>
      <c r="AX30" s="538" t="s">
        <v>26</v>
      </c>
      <c r="AY30" s="538" t="s">
        <v>26</v>
      </c>
      <c r="AZ30" s="596" t="s">
        <v>26</v>
      </c>
    </row>
    <row r="31" spans="1:52" ht="72" x14ac:dyDescent="0.2">
      <c r="A31" s="85">
        <v>16</v>
      </c>
      <c r="B31" s="87" t="s">
        <v>21</v>
      </c>
      <c r="C31" s="87" t="s">
        <v>328</v>
      </c>
      <c r="D31" s="86" t="s">
        <v>329</v>
      </c>
      <c r="E31" s="86" t="s">
        <v>330</v>
      </c>
      <c r="F31" s="86"/>
      <c r="G31" s="86" t="s">
        <v>279</v>
      </c>
      <c r="H31" s="87" t="s">
        <v>331</v>
      </c>
      <c r="I31" s="87" t="s">
        <v>332</v>
      </c>
      <c r="J31" s="87" t="s">
        <v>333</v>
      </c>
      <c r="K31" s="86" t="s">
        <v>334</v>
      </c>
      <c r="L31" s="86"/>
      <c r="M31" s="86" t="s">
        <v>285</v>
      </c>
      <c r="N31" s="86" t="s">
        <v>286</v>
      </c>
      <c r="O31" s="86" t="s">
        <v>292</v>
      </c>
      <c r="P31" s="87" t="s">
        <v>335</v>
      </c>
      <c r="Q31" s="87" t="s">
        <v>316</v>
      </c>
      <c r="R31" s="87" t="s">
        <v>920</v>
      </c>
      <c r="S31" s="189" t="s">
        <v>794</v>
      </c>
      <c r="T31" s="213" t="s">
        <v>794</v>
      </c>
      <c r="U31" s="189"/>
      <c r="V31" s="189"/>
      <c r="W31" s="214"/>
      <c r="X31" s="189"/>
      <c r="Y31" s="215"/>
      <c r="Z31" s="680"/>
      <c r="AA31" s="681">
        <v>2012</v>
      </c>
      <c r="AB31" s="682">
        <v>2013</v>
      </c>
      <c r="AC31" s="683"/>
      <c r="AD31" s="681">
        <v>2012</v>
      </c>
      <c r="AE31" s="682">
        <v>2013</v>
      </c>
      <c r="AF31" s="683"/>
      <c r="AG31" s="681">
        <v>2012</v>
      </c>
      <c r="AH31" s="686">
        <v>2013</v>
      </c>
      <c r="AI31" s="685"/>
      <c r="AJ31" s="681">
        <v>2012</v>
      </c>
      <c r="AK31" s="682">
        <v>2013</v>
      </c>
      <c r="AL31" s="683"/>
      <c r="AM31" s="681">
        <v>2012</v>
      </c>
      <c r="AN31" s="686">
        <v>2013</v>
      </c>
      <c r="AO31" s="685"/>
      <c r="AP31" s="681">
        <v>2012</v>
      </c>
      <c r="AQ31" s="682">
        <v>2013</v>
      </c>
      <c r="AR31" s="683"/>
      <c r="AS31" s="681">
        <v>2012</v>
      </c>
      <c r="AT31" s="686">
        <v>2013</v>
      </c>
      <c r="AU31" s="685"/>
      <c r="AV31" s="681">
        <v>2012</v>
      </c>
      <c r="AW31" s="682">
        <v>2013</v>
      </c>
      <c r="AX31" s="683"/>
      <c r="AY31" s="681">
        <v>2012</v>
      </c>
      <c r="AZ31" s="682">
        <v>2013</v>
      </c>
    </row>
    <row r="32" spans="1:52" ht="15.75" x14ac:dyDescent="0.2">
      <c r="A32" s="85"/>
      <c r="B32" s="87"/>
      <c r="C32" s="87"/>
      <c r="D32" s="86"/>
      <c r="E32" s="86"/>
      <c r="F32" s="86"/>
      <c r="G32" s="86"/>
      <c r="H32" s="87"/>
      <c r="I32" s="87"/>
      <c r="J32" s="87"/>
      <c r="K32" s="86"/>
      <c r="L32" s="86"/>
      <c r="M32" s="86"/>
      <c r="N32" s="86"/>
      <c r="O32" s="86"/>
      <c r="P32" s="87"/>
      <c r="Q32" s="87"/>
      <c r="R32" s="87"/>
      <c r="S32" s="189"/>
      <c r="T32" s="213"/>
      <c r="U32" s="189"/>
      <c r="V32" s="189"/>
      <c r="W32" s="214"/>
      <c r="X32" s="189"/>
      <c r="Y32" s="215"/>
      <c r="Z32" s="92"/>
      <c r="AA32" s="322">
        <v>130000</v>
      </c>
      <c r="AB32" s="323">
        <v>117725</v>
      </c>
      <c r="AC32" s="320"/>
      <c r="AD32" s="322">
        <v>89666</v>
      </c>
      <c r="AE32" s="322">
        <v>110000</v>
      </c>
      <c r="AF32" s="687"/>
      <c r="AG32" s="322">
        <v>251381</v>
      </c>
      <c r="AH32" s="322">
        <v>288703</v>
      </c>
      <c r="AI32" s="687"/>
      <c r="AJ32" s="322">
        <v>687000</v>
      </c>
      <c r="AK32" s="322">
        <v>589605</v>
      </c>
      <c r="AL32" s="687"/>
      <c r="AM32" s="322">
        <v>34397</v>
      </c>
      <c r="AN32" s="323">
        <v>34327</v>
      </c>
      <c r="AO32" s="321"/>
      <c r="AP32" s="322">
        <v>86172</v>
      </c>
      <c r="AQ32" s="323">
        <v>83660</v>
      </c>
      <c r="AR32" s="321"/>
      <c r="AS32" s="322">
        <v>54240</v>
      </c>
      <c r="AT32" s="323">
        <v>60610</v>
      </c>
      <c r="AU32" s="321"/>
      <c r="AV32" s="321">
        <v>32625</v>
      </c>
      <c r="AW32" s="323">
        <v>14365</v>
      </c>
      <c r="AX32" s="321"/>
      <c r="AY32" s="322">
        <v>28026</v>
      </c>
      <c r="AZ32" s="323">
        <v>24292</v>
      </c>
    </row>
    <row r="33" spans="1:53" ht="60" x14ac:dyDescent="0.2">
      <c r="A33" s="85">
        <v>17</v>
      </c>
      <c r="B33" s="87" t="s">
        <v>22</v>
      </c>
      <c r="C33" s="87" t="s">
        <v>869</v>
      </c>
      <c r="D33" s="86" t="s">
        <v>329</v>
      </c>
      <c r="E33" s="86" t="s">
        <v>330</v>
      </c>
      <c r="F33" s="86"/>
      <c r="G33" s="86" t="s">
        <v>279</v>
      </c>
      <c r="H33" s="87" t="s">
        <v>870</v>
      </c>
      <c r="I33" s="87" t="s">
        <v>336</v>
      </c>
      <c r="J33" s="87" t="s">
        <v>286</v>
      </c>
      <c r="K33" s="86" t="s">
        <v>337</v>
      </c>
      <c r="L33" s="86"/>
      <c r="M33" s="86" t="s">
        <v>285</v>
      </c>
      <c r="N33" s="86" t="s">
        <v>286</v>
      </c>
      <c r="O33" s="86" t="s">
        <v>292</v>
      </c>
      <c r="P33" s="87" t="s">
        <v>338</v>
      </c>
      <c r="Q33" s="87" t="s">
        <v>293</v>
      </c>
      <c r="R33" s="87" t="s">
        <v>931</v>
      </c>
      <c r="S33" s="189" t="s">
        <v>794</v>
      </c>
      <c r="T33" s="213" t="s">
        <v>794</v>
      </c>
      <c r="U33" s="7"/>
      <c r="V33" s="189"/>
      <c r="W33" s="214"/>
      <c r="X33" s="189"/>
      <c r="Y33" s="215"/>
      <c r="Z33" s="688">
        <v>1996</v>
      </c>
      <c r="AA33" s="689">
        <v>2000</v>
      </c>
      <c r="AB33" s="689">
        <v>2001</v>
      </c>
      <c r="AC33" s="689">
        <v>2002</v>
      </c>
      <c r="AD33" s="689">
        <v>2003</v>
      </c>
      <c r="AE33" s="689">
        <v>2004</v>
      </c>
      <c r="AF33" s="689">
        <v>2005</v>
      </c>
      <c r="AG33" s="689">
        <v>2006</v>
      </c>
      <c r="AH33" s="689">
        <v>2007</v>
      </c>
      <c r="AI33" s="689">
        <v>2008</v>
      </c>
      <c r="AJ33" s="689">
        <v>2009</v>
      </c>
      <c r="AK33" s="689">
        <v>2010</v>
      </c>
      <c r="AL33" s="689">
        <v>2011</v>
      </c>
      <c r="AM33" s="689">
        <v>2012</v>
      </c>
      <c r="AN33" s="689">
        <v>2013</v>
      </c>
      <c r="AO33" s="115"/>
      <c r="AP33" s="115"/>
      <c r="AQ33" s="115"/>
      <c r="AR33" s="115"/>
      <c r="AS33" s="115"/>
      <c r="AT33" s="115"/>
      <c r="AU33" s="115"/>
      <c r="AV33" s="115"/>
      <c r="AW33" s="115"/>
      <c r="AX33" s="52"/>
      <c r="AY33" s="52"/>
      <c r="AZ33" s="53"/>
    </row>
    <row r="34" spans="1:53" ht="15.75" x14ac:dyDescent="0.2">
      <c r="A34" s="85"/>
      <c r="B34" s="247" t="s">
        <v>3</v>
      </c>
      <c r="C34" s="87"/>
      <c r="D34" s="86"/>
      <c r="E34" s="86"/>
      <c r="F34" s="86"/>
      <c r="G34" s="86"/>
      <c r="H34" s="87"/>
      <c r="I34" s="87"/>
      <c r="J34" s="87"/>
      <c r="K34" s="86"/>
      <c r="L34" s="86"/>
      <c r="M34" s="86"/>
      <c r="N34" s="86"/>
      <c r="O34" s="86"/>
      <c r="P34" s="87"/>
      <c r="Q34" s="87"/>
      <c r="R34" s="87"/>
      <c r="S34" s="189"/>
      <c r="T34" s="213"/>
      <c r="U34" s="7"/>
      <c r="V34" s="189"/>
      <c r="W34" s="214"/>
      <c r="X34" s="189"/>
      <c r="Y34" s="215"/>
      <c r="Z34" s="551">
        <v>671913.39210144</v>
      </c>
      <c r="AA34" s="551">
        <v>903465.2340011599</v>
      </c>
      <c r="AB34" s="551">
        <v>928461.94108729961</v>
      </c>
      <c r="AC34" s="551">
        <v>1032686.2114474494</v>
      </c>
      <c r="AD34" s="551">
        <v>1146436.5864180368</v>
      </c>
      <c r="AE34" s="551">
        <v>1106517.6313759782</v>
      </c>
      <c r="AF34" s="551">
        <v>1068248.0785343149</v>
      </c>
      <c r="AG34" s="551">
        <v>1037813.0328955995</v>
      </c>
      <c r="AH34" s="551">
        <v>1039063.581555005</v>
      </c>
      <c r="AI34" s="551">
        <v>1130958.6919720571</v>
      </c>
      <c r="AJ34" s="551">
        <v>1242379.3694041753</v>
      </c>
      <c r="AK34" s="551">
        <v>1073645.1713950322</v>
      </c>
      <c r="AL34" s="551">
        <v>931523.06583470036</v>
      </c>
      <c r="AM34" s="551">
        <v>1019800.3206088782</v>
      </c>
      <c r="AN34" s="551">
        <v>1087963.266615917</v>
      </c>
      <c r="AO34" s="92"/>
      <c r="AP34" s="92"/>
      <c r="AQ34" s="92"/>
      <c r="AR34" s="92"/>
      <c r="AS34" s="92"/>
      <c r="AT34" s="92"/>
      <c r="AU34" s="92"/>
      <c r="AV34" s="92"/>
      <c r="AW34" s="92"/>
      <c r="AX34" s="7"/>
      <c r="AY34" s="7"/>
      <c r="AZ34" s="31"/>
    </row>
    <row r="35" spans="1:53" ht="15" customHeight="1" x14ac:dyDescent="0.2">
      <c r="A35" s="85"/>
      <c r="B35" s="247" t="s">
        <v>4</v>
      </c>
      <c r="C35" s="87"/>
      <c r="D35" s="86"/>
      <c r="E35" s="86"/>
      <c r="F35" s="86"/>
      <c r="G35" s="86"/>
      <c r="H35" s="87"/>
      <c r="I35" s="87"/>
      <c r="J35" s="87"/>
      <c r="K35" s="86"/>
      <c r="L35" s="86"/>
      <c r="M35" s="86"/>
      <c r="N35" s="86"/>
      <c r="O35" s="86"/>
      <c r="P35" s="87"/>
      <c r="Q35" s="87"/>
      <c r="R35" s="87"/>
      <c r="S35" s="189"/>
      <c r="T35" s="213"/>
      <c r="U35" s="7"/>
      <c r="V35" s="189"/>
      <c r="W35" s="214"/>
      <c r="X35" s="189"/>
      <c r="Y35" s="215"/>
      <c r="Z35" s="551">
        <v>463615.01967045566</v>
      </c>
      <c r="AA35" s="551">
        <v>597453.12883842515</v>
      </c>
      <c r="AB35" s="551">
        <v>611222.87116856943</v>
      </c>
      <c r="AC35" s="551">
        <v>674371.26625380269</v>
      </c>
      <c r="AD35" s="551">
        <v>742797.53883380617</v>
      </c>
      <c r="AE35" s="551">
        <v>716939.28630210715</v>
      </c>
      <c r="AF35" s="551">
        <v>691700.36046235857</v>
      </c>
      <c r="AG35" s="551">
        <v>670141.5862027551</v>
      </c>
      <c r="AH35" s="551">
        <v>668095.75738889759</v>
      </c>
      <c r="AI35" s="551">
        <v>722542.36086424533</v>
      </c>
      <c r="AJ35" s="551">
        <v>788278.29883687967</v>
      </c>
      <c r="AK35" s="551">
        <v>678364.05587569159</v>
      </c>
      <c r="AL35" s="551">
        <v>584390.94383748423</v>
      </c>
      <c r="AM35" s="551">
        <v>634853.34848759719</v>
      </c>
      <c r="AN35" s="551">
        <v>683097.10894253105</v>
      </c>
      <c r="AO35" s="92"/>
      <c r="AP35" s="92"/>
      <c r="AQ35" s="92"/>
      <c r="AR35" s="92"/>
      <c r="AS35" s="92"/>
      <c r="AT35" s="92"/>
      <c r="AU35" s="92"/>
      <c r="AV35" s="92"/>
      <c r="AW35" s="92"/>
      <c r="AX35" s="7"/>
      <c r="AY35" s="7"/>
      <c r="AZ35" s="31"/>
    </row>
    <row r="36" spans="1:53" ht="16.5" customHeight="1" x14ac:dyDescent="0.2">
      <c r="A36" s="85"/>
      <c r="B36" s="247" t="s">
        <v>5</v>
      </c>
      <c r="C36" s="87"/>
      <c r="D36" s="86"/>
      <c r="E36" s="86"/>
      <c r="F36" s="86"/>
      <c r="G36" s="86"/>
      <c r="H36" s="87"/>
      <c r="I36" s="87"/>
      <c r="J36" s="87"/>
      <c r="K36" s="86"/>
      <c r="L36" s="86"/>
      <c r="M36" s="86"/>
      <c r="N36" s="86"/>
      <c r="O36" s="86"/>
      <c r="P36" s="87"/>
      <c r="Q36" s="87"/>
      <c r="R36" s="87"/>
      <c r="S36" s="189"/>
      <c r="T36" s="213"/>
      <c r="U36" s="7"/>
      <c r="V36" s="189"/>
      <c r="W36" s="214"/>
      <c r="X36" s="189"/>
      <c r="Y36" s="215"/>
      <c r="Z36" s="551">
        <v>603322.36929173092</v>
      </c>
      <c r="AA36" s="551">
        <v>795733.9029828927</v>
      </c>
      <c r="AB36" s="551">
        <v>810423.80278199457</v>
      </c>
      <c r="AC36" s="551">
        <v>889150.85069931869</v>
      </c>
      <c r="AD36" s="551">
        <v>964087.30776726385</v>
      </c>
      <c r="AE36" s="551">
        <v>905021.29065959016</v>
      </c>
      <c r="AF36" s="551">
        <v>855282.04609481303</v>
      </c>
      <c r="AG36" s="551">
        <v>826305.42987448978</v>
      </c>
      <c r="AH36" s="551">
        <v>829294.11833241698</v>
      </c>
      <c r="AI36" s="551">
        <v>895145.92474956182</v>
      </c>
      <c r="AJ36" s="551">
        <v>962067.36890106427</v>
      </c>
      <c r="AK36" s="551">
        <v>825713.26102960214</v>
      </c>
      <c r="AL36" s="551">
        <v>720545.7898425319</v>
      </c>
      <c r="AM36" s="551">
        <v>766916.25503762614</v>
      </c>
      <c r="AN36" s="551">
        <v>808491.2233550786</v>
      </c>
      <c r="AO36" s="92"/>
      <c r="AP36" s="92"/>
      <c r="AQ36" s="92"/>
      <c r="AR36" s="92"/>
      <c r="AS36" s="92"/>
      <c r="AT36" s="92"/>
      <c r="AU36" s="92"/>
      <c r="AV36" s="92"/>
      <c r="AW36" s="92"/>
      <c r="AX36" s="7"/>
      <c r="AY36" s="7"/>
      <c r="AZ36" s="31"/>
    </row>
    <row r="37" spans="1:53" ht="15.75" x14ac:dyDescent="0.2">
      <c r="A37" s="85"/>
      <c r="B37" s="247" t="s">
        <v>251</v>
      </c>
      <c r="C37" s="87"/>
      <c r="D37" s="86"/>
      <c r="E37" s="86"/>
      <c r="F37" s="86"/>
      <c r="G37" s="86"/>
      <c r="H37" s="87"/>
      <c r="I37" s="87"/>
      <c r="J37" s="87"/>
      <c r="K37" s="86"/>
      <c r="L37" s="86"/>
      <c r="M37" s="86"/>
      <c r="N37" s="86"/>
      <c r="O37" s="86"/>
      <c r="P37" s="87"/>
      <c r="Q37" s="87"/>
      <c r="R37" s="87"/>
      <c r="S37" s="189"/>
      <c r="T37" s="213"/>
      <c r="U37" s="7"/>
      <c r="V37" s="189"/>
      <c r="W37" s="214"/>
      <c r="X37" s="189"/>
      <c r="Y37" s="215"/>
      <c r="Z37" s="551">
        <v>987534.34595524624</v>
      </c>
      <c r="AA37" s="551">
        <v>1235053.4707960973</v>
      </c>
      <c r="AB37" s="551">
        <v>1249714.4170785723</v>
      </c>
      <c r="AC37" s="551">
        <v>1333020.8208216508</v>
      </c>
      <c r="AD37" s="551">
        <v>1410404.3669437107</v>
      </c>
      <c r="AE37" s="551">
        <v>1338309.2322252875</v>
      </c>
      <c r="AF37" s="551">
        <v>1280296.3178643293</v>
      </c>
      <c r="AG37" s="551">
        <v>1235799.5778549036</v>
      </c>
      <c r="AH37" s="551">
        <v>1222494.440332816</v>
      </c>
      <c r="AI37" s="551">
        <v>1276191.9933855487</v>
      </c>
      <c r="AJ37" s="551">
        <v>1344408.1658802317</v>
      </c>
      <c r="AK37" s="551">
        <v>1163723.0932304934</v>
      </c>
      <c r="AL37" s="551">
        <v>1015937.7132676408</v>
      </c>
      <c r="AM37" s="551">
        <v>1058500.7269106996</v>
      </c>
      <c r="AN37" s="551">
        <v>1087981.458547058</v>
      </c>
      <c r="AO37" s="92"/>
      <c r="AP37" s="92"/>
      <c r="AQ37" s="92"/>
      <c r="AR37" s="92"/>
      <c r="AS37" s="92"/>
      <c r="AT37" s="92"/>
      <c r="AU37" s="92"/>
      <c r="AV37" s="92"/>
      <c r="AW37" s="92"/>
      <c r="AX37" s="7"/>
      <c r="AY37" s="7"/>
      <c r="AZ37" s="31"/>
    </row>
    <row r="38" spans="1:53" ht="15.75" x14ac:dyDescent="0.2">
      <c r="A38" s="85"/>
      <c r="B38" s="247" t="s">
        <v>252</v>
      </c>
      <c r="C38" s="87"/>
      <c r="D38" s="86"/>
      <c r="E38" s="86"/>
      <c r="F38" s="86"/>
      <c r="G38" s="86"/>
      <c r="H38" s="87"/>
      <c r="I38" s="87"/>
      <c r="J38" s="87"/>
      <c r="K38" s="86"/>
      <c r="L38" s="86"/>
      <c r="M38" s="86"/>
      <c r="N38" s="86"/>
      <c r="O38" s="86"/>
      <c r="P38" s="87"/>
      <c r="Q38" s="87"/>
      <c r="R38" s="87"/>
      <c r="S38" s="189"/>
      <c r="T38" s="213"/>
      <c r="U38" s="7"/>
      <c r="V38" s="189"/>
      <c r="W38" s="214"/>
      <c r="X38" s="189"/>
      <c r="Y38" s="215"/>
      <c r="Z38" s="551">
        <v>564452.7146603904</v>
      </c>
      <c r="AA38" s="551">
        <v>780738.55983208376</v>
      </c>
      <c r="AB38" s="551">
        <v>807380.18183507852</v>
      </c>
      <c r="AC38" s="551">
        <v>886474.27983342181</v>
      </c>
      <c r="AD38" s="551">
        <v>968874.46119481372</v>
      </c>
      <c r="AE38" s="551">
        <v>931608.30389206018</v>
      </c>
      <c r="AF38" s="551">
        <v>894493.9824722379</v>
      </c>
      <c r="AG38" s="551">
        <v>860876.50869343826</v>
      </c>
      <c r="AH38" s="551">
        <v>848908.64043923351</v>
      </c>
      <c r="AI38" s="551">
        <v>906340.43541535281</v>
      </c>
      <c r="AJ38" s="551">
        <v>977921.77286996867</v>
      </c>
      <c r="AK38" s="551">
        <v>839816.04474586016</v>
      </c>
      <c r="AL38" s="551">
        <v>725097.25224926078</v>
      </c>
      <c r="AM38" s="551">
        <v>775033.3608554526</v>
      </c>
      <c r="AN38" s="551">
        <v>802026.35770895251</v>
      </c>
      <c r="AO38" s="92"/>
      <c r="AP38" s="92"/>
      <c r="AQ38" s="92"/>
      <c r="AR38" s="92"/>
      <c r="AS38" s="92"/>
      <c r="AT38" s="92"/>
      <c r="AU38" s="92"/>
      <c r="AV38" s="92"/>
      <c r="AW38" s="92"/>
      <c r="AX38" s="7"/>
      <c r="AY38" s="7"/>
      <c r="AZ38" s="31"/>
    </row>
    <row r="39" spans="1:53" ht="15.75" x14ac:dyDescent="0.2">
      <c r="A39" s="85"/>
      <c r="B39" s="247" t="s">
        <v>6</v>
      </c>
      <c r="C39" s="87"/>
      <c r="D39" s="86"/>
      <c r="E39" s="86"/>
      <c r="F39" s="86"/>
      <c r="G39" s="86"/>
      <c r="H39" s="87"/>
      <c r="I39" s="87"/>
      <c r="J39" s="87"/>
      <c r="K39" s="86"/>
      <c r="L39" s="86"/>
      <c r="M39" s="86"/>
      <c r="N39" s="86"/>
      <c r="O39" s="86"/>
      <c r="P39" s="87"/>
      <c r="Q39" s="87"/>
      <c r="R39" s="87"/>
      <c r="S39" s="189"/>
      <c r="T39" s="213"/>
      <c r="U39" s="189"/>
      <c r="V39" s="189"/>
      <c r="W39" s="214"/>
      <c r="X39" s="189"/>
      <c r="Y39" s="215"/>
      <c r="Z39" s="551">
        <v>398223.71696647047</v>
      </c>
      <c r="AA39" s="551">
        <v>459518.79548662482</v>
      </c>
      <c r="AB39" s="551">
        <v>458396.67584472406</v>
      </c>
      <c r="AC39" s="551">
        <v>480903.16675725533</v>
      </c>
      <c r="AD39" s="551">
        <v>502379.64217690023</v>
      </c>
      <c r="AE39" s="551">
        <v>475717.27048564673</v>
      </c>
      <c r="AF39" s="551">
        <v>448996.60258773586</v>
      </c>
      <c r="AG39" s="551">
        <v>423531.65195966326</v>
      </c>
      <c r="AH39" s="551">
        <v>409017.36153591186</v>
      </c>
      <c r="AI39" s="551">
        <v>423514.0336194741</v>
      </c>
      <c r="AJ39" s="551">
        <v>442541.90397486102</v>
      </c>
      <c r="AK39" s="551">
        <v>380888.93572469131</v>
      </c>
      <c r="AL39" s="551">
        <v>331789.93660110532</v>
      </c>
      <c r="AM39" s="551">
        <v>341440.4089299005</v>
      </c>
      <c r="AN39" s="551">
        <v>349580.19814723119</v>
      </c>
      <c r="AO39" s="247"/>
      <c r="AP39" s="98"/>
      <c r="AQ39" s="98"/>
      <c r="AR39" s="247"/>
      <c r="AS39" s="98"/>
      <c r="AT39" s="98"/>
      <c r="AU39" s="247"/>
      <c r="AV39" s="98"/>
      <c r="AW39" s="98"/>
      <c r="AX39" s="247"/>
      <c r="AY39" s="207"/>
      <c r="AZ39" s="316"/>
    </row>
    <row r="40" spans="1:53" ht="15.75" x14ac:dyDescent="0.2">
      <c r="A40" s="85"/>
      <c r="B40" s="247" t="s">
        <v>8</v>
      </c>
      <c r="C40" s="87"/>
      <c r="D40" s="86"/>
      <c r="E40" s="86"/>
      <c r="F40" s="86"/>
      <c r="G40" s="86"/>
      <c r="H40" s="87"/>
      <c r="I40" s="87"/>
      <c r="J40" s="87"/>
      <c r="K40" s="86"/>
      <c r="L40" s="86"/>
      <c r="M40" s="86"/>
      <c r="N40" s="86"/>
      <c r="O40" s="86"/>
      <c r="P40" s="87"/>
      <c r="Q40" s="87"/>
      <c r="R40" s="87"/>
      <c r="S40" s="189"/>
      <c r="T40" s="213"/>
      <c r="U40" s="189"/>
      <c r="V40" s="189"/>
      <c r="W40" s="214"/>
      <c r="X40" s="189"/>
      <c r="Y40" s="215"/>
      <c r="Z40" s="551">
        <v>326375.19498403958</v>
      </c>
      <c r="AA40" s="551">
        <v>373537.10448183259</v>
      </c>
      <c r="AB40" s="551">
        <v>372381.05492211861</v>
      </c>
      <c r="AC40" s="551">
        <v>388034.80842610094</v>
      </c>
      <c r="AD40" s="551">
        <v>402419.44064395683</v>
      </c>
      <c r="AE40" s="551">
        <v>380168.43829361239</v>
      </c>
      <c r="AF40" s="551">
        <v>357889.31480848661</v>
      </c>
      <c r="AG40" s="551">
        <v>335161.0200788973</v>
      </c>
      <c r="AH40" s="551">
        <v>318995.11726315686</v>
      </c>
      <c r="AI40" s="551">
        <v>323678.13879939658</v>
      </c>
      <c r="AJ40" s="551">
        <v>333625.22152696928</v>
      </c>
      <c r="AK40" s="551">
        <v>284415.19819336321</v>
      </c>
      <c r="AL40" s="551">
        <v>243122.92105580767</v>
      </c>
      <c r="AM40" s="551">
        <v>247313.73392656026</v>
      </c>
      <c r="AN40" s="551">
        <v>248630.28747034961</v>
      </c>
      <c r="AO40" s="247"/>
      <c r="AP40" s="98"/>
      <c r="AQ40" s="98"/>
      <c r="AR40" s="247"/>
      <c r="AS40" s="98"/>
      <c r="AT40" s="98"/>
      <c r="AU40" s="247"/>
      <c r="AV40" s="98"/>
      <c r="AW40" s="98"/>
      <c r="AX40" s="247"/>
      <c r="AY40" s="207"/>
      <c r="AZ40" s="316"/>
    </row>
    <row r="41" spans="1:53" ht="15.75" x14ac:dyDescent="0.2">
      <c r="A41" s="85"/>
      <c r="B41" s="247" t="s">
        <v>7</v>
      </c>
      <c r="C41" s="87"/>
      <c r="D41" s="86"/>
      <c r="E41" s="86"/>
      <c r="F41" s="86"/>
      <c r="G41" s="86"/>
      <c r="H41" s="87"/>
      <c r="I41" s="87"/>
      <c r="J41" s="87"/>
      <c r="K41" s="86"/>
      <c r="L41" s="86"/>
      <c r="M41" s="86"/>
      <c r="N41" s="86"/>
      <c r="O41" s="86"/>
      <c r="P41" s="87"/>
      <c r="Q41" s="87"/>
      <c r="R41" s="87"/>
      <c r="S41" s="189"/>
      <c r="T41" s="213"/>
      <c r="U41" s="189"/>
      <c r="V41" s="189"/>
      <c r="W41" s="214"/>
      <c r="X41" s="189"/>
      <c r="Y41" s="215"/>
      <c r="Z41" s="551">
        <v>246096.36397604569</v>
      </c>
      <c r="AA41" s="551">
        <v>287708.95805534488</v>
      </c>
      <c r="AB41" s="551">
        <v>290236.24175434973</v>
      </c>
      <c r="AC41" s="551">
        <v>306422.92559711594</v>
      </c>
      <c r="AD41" s="551">
        <v>320502.62871735496</v>
      </c>
      <c r="AE41" s="551">
        <v>298486.89673647203</v>
      </c>
      <c r="AF41" s="551">
        <v>275301.66359190457</v>
      </c>
      <c r="AG41" s="551">
        <v>256633.92067762912</v>
      </c>
      <c r="AH41" s="551">
        <v>248015.27591502946</v>
      </c>
      <c r="AI41" s="551">
        <v>262198.58021947695</v>
      </c>
      <c r="AJ41" s="551">
        <v>283049.52523587272</v>
      </c>
      <c r="AK41" s="551">
        <v>240501.12704372717</v>
      </c>
      <c r="AL41" s="551">
        <v>201386.79916615383</v>
      </c>
      <c r="AM41" s="551">
        <v>207192.92445444351</v>
      </c>
      <c r="AN41" s="551">
        <v>211303.06835442106</v>
      </c>
      <c r="AO41" s="247"/>
      <c r="AP41" s="92"/>
      <c r="AQ41" s="92"/>
      <c r="AR41" s="247"/>
      <c r="AS41" s="92"/>
      <c r="AT41" s="92"/>
      <c r="AU41" s="247"/>
      <c r="AV41" s="92"/>
      <c r="AW41" s="92"/>
      <c r="AX41" s="247"/>
      <c r="AY41" s="7"/>
      <c r="AZ41" s="31"/>
    </row>
    <row r="42" spans="1:53" ht="15.75" x14ac:dyDescent="0.2">
      <c r="A42" s="85"/>
      <c r="B42" s="247" t="s">
        <v>801</v>
      </c>
      <c r="C42" s="87"/>
      <c r="D42" s="86"/>
      <c r="E42" s="86"/>
      <c r="F42" s="86"/>
      <c r="G42" s="86"/>
      <c r="H42" s="87"/>
      <c r="I42" s="87"/>
      <c r="J42" s="87"/>
      <c r="K42" s="86"/>
      <c r="L42" s="86"/>
      <c r="M42" s="86"/>
      <c r="N42" s="86"/>
      <c r="O42" s="86"/>
      <c r="P42" s="87"/>
      <c r="Q42" s="87"/>
      <c r="R42" s="87"/>
      <c r="S42" s="189"/>
      <c r="T42" s="213"/>
      <c r="U42" s="189"/>
      <c r="V42" s="189"/>
      <c r="W42" s="214"/>
      <c r="X42" s="189"/>
      <c r="Y42" s="215"/>
      <c r="Z42" s="551">
        <v>241334.39180691581</v>
      </c>
      <c r="AA42" s="551">
        <v>267417.14927169954</v>
      </c>
      <c r="AB42" s="551">
        <v>266677.22724036901</v>
      </c>
      <c r="AC42" s="551">
        <v>277165.62357803585</v>
      </c>
      <c r="AD42" s="551">
        <v>287602.47246611933</v>
      </c>
      <c r="AE42" s="551">
        <v>272211.69487193442</v>
      </c>
      <c r="AF42" s="551">
        <v>259823.16181398503</v>
      </c>
      <c r="AG42" s="551">
        <v>250669.45601795765</v>
      </c>
      <c r="AH42" s="551">
        <v>248360.82369605626</v>
      </c>
      <c r="AI42" s="551">
        <v>259773.91514892346</v>
      </c>
      <c r="AJ42" s="551">
        <v>273511.27011330327</v>
      </c>
      <c r="AK42" s="551">
        <v>239303.56964594644</v>
      </c>
      <c r="AL42" s="551">
        <v>209183.62679601894</v>
      </c>
      <c r="AM42" s="551">
        <v>211789.00842528176</v>
      </c>
      <c r="AN42" s="551">
        <v>210436.50009443733</v>
      </c>
      <c r="AO42" s="247"/>
      <c r="AP42" s="92"/>
      <c r="AQ42" s="92"/>
      <c r="AR42" s="247"/>
      <c r="AS42" s="92"/>
      <c r="AT42" s="92"/>
      <c r="AU42" s="247"/>
      <c r="AV42" s="92"/>
      <c r="AW42" s="92"/>
      <c r="AX42" s="247"/>
      <c r="AY42" s="7"/>
      <c r="AZ42" s="31"/>
    </row>
    <row r="43" spans="1:53" ht="15.75" x14ac:dyDescent="0.2">
      <c r="A43" s="85"/>
      <c r="B43" s="247"/>
      <c r="C43" s="87"/>
      <c r="D43" s="86"/>
      <c r="E43" s="86"/>
      <c r="F43" s="86"/>
      <c r="G43" s="86"/>
      <c r="H43" s="87"/>
      <c r="I43" s="87"/>
      <c r="J43" s="87"/>
      <c r="K43" s="86"/>
      <c r="L43" s="86"/>
      <c r="M43" s="86"/>
      <c r="N43" s="86"/>
      <c r="O43" s="86"/>
      <c r="P43" s="87"/>
      <c r="Q43" s="87"/>
      <c r="R43" s="87"/>
      <c r="S43" s="189"/>
      <c r="T43" s="213"/>
      <c r="U43" s="189"/>
      <c r="V43" s="189"/>
      <c r="W43" s="214"/>
      <c r="X43" s="189"/>
      <c r="Y43" s="215"/>
      <c r="Z43" s="272"/>
      <c r="AA43" s="7"/>
      <c r="AB43" s="98"/>
      <c r="AC43" s="247"/>
      <c r="AD43" s="92"/>
      <c r="AE43" s="92"/>
      <c r="AF43" s="247"/>
      <c r="AG43" s="92"/>
      <c r="AH43" s="98"/>
      <c r="AI43" s="247"/>
      <c r="AJ43" s="92"/>
      <c r="AK43" s="92"/>
      <c r="AL43" s="247"/>
      <c r="AM43" s="92"/>
      <c r="AN43" s="92"/>
      <c r="AO43" s="247"/>
      <c r="AP43" s="92"/>
      <c r="AQ43" s="92"/>
      <c r="AR43" s="247"/>
      <c r="AS43" s="92"/>
      <c r="AT43" s="92"/>
      <c r="AU43" s="247"/>
      <c r="AV43" s="92"/>
      <c r="AW43" s="92"/>
      <c r="AX43" s="247"/>
      <c r="AY43" s="7"/>
      <c r="AZ43" s="31"/>
    </row>
    <row r="44" spans="1:53" ht="60" x14ac:dyDescent="0.2">
      <c r="A44" s="85">
        <v>18</v>
      </c>
      <c r="B44" s="142" t="s">
        <v>802</v>
      </c>
      <c r="C44" s="87" t="s">
        <v>339</v>
      </c>
      <c r="D44" s="86" t="s">
        <v>329</v>
      </c>
      <c r="E44" s="86" t="s">
        <v>330</v>
      </c>
      <c r="F44" s="86"/>
      <c r="G44" s="86" t="s">
        <v>279</v>
      </c>
      <c r="H44" s="87" t="s">
        <v>871</v>
      </c>
      <c r="I44" s="87" t="s">
        <v>336</v>
      </c>
      <c r="J44" s="87" t="s">
        <v>286</v>
      </c>
      <c r="K44" s="86" t="s">
        <v>337</v>
      </c>
      <c r="L44" s="86"/>
      <c r="M44" s="86" t="s">
        <v>285</v>
      </c>
      <c r="N44" s="86" t="s">
        <v>286</v>
      </c>
      <c r="O44" s="86" t="s">
        <v>292</v>
      </c>
      <c r="P44" s="87" t="s">
        <v>338</v>
      </c>
      <c r="Q44" s="87" t="s">
        <v>293</v>
      </c>
      <c r="R44" s="87" t="s">
        <v>930</v>
      </c>
      <c r="S44" s="189" t="s">
        <v>794</v>
      </c>
      <c r="T44" s="213" t="s">
        <v>794</v>
      </c>
      <c r="U44" s="189"/>
      <c r="V44" s="189"/>
      <c r="W44" s="214"/>
      <c r="X44" s="189"/>
      <c r="Y44" s="215"/>
      <c r="Z44" s="690">
        <v>1996</v>
      </c>
      <c r="AA44" s="691">
        <v>1997</v>
      </c>
      <c r="AB44" s="691">
        <v>1998</v>
      </c>
      <c r="AC44" s="691">
        <v>1999</v>
      </c>
      <c r="AD44" s="691">
        <v>2000</v>
      </c>
      <c r="AE44" s="691">
        <v>2001</v>
      </c>
      <c r="AF44" s="689">
        <v>2002</v>
      </c>
      <c r="AG44" s="689">
        <v>2003</v>
      </c>
      <c r="AH44" s="689">
        <v>2004</v>
      </c>
      <c r="AI44" s="689">
        <v>2005</v>
      </c>
      <c r="AJ44" s="689">
        <v>2006</v>
      </c>
      <c r="AK44" s="689">
        <v>2007</v>
      </c>
      <c r="AL44" s="689">
        <v>2008</v>
      </c>
      <c r="AM44" s="689">
        <v>2009</v>
      </c>
      <c r="AN44" s="689">
        <v>2010</v>
      </c>
      <c r="AO44" s="689">
        <v>2011</v>
      </c>
      <c r="AP44" s="689">
        <v>2012</v>
      </c>
      <c r="AQ44" s="689">
        <v>2013</v>
      </c>
      <c r="AR44" s="7"/>
      <c r="AS44" s="7"/>
      <c r="AT44" s="7"/>
      <c r="AU44" s="7"/>
      <c r="AV44" s="7"/>
      <c r="AW44" s="7"/>
      <c r="AX44" s="7"/>
      <c r="AY44" s="7"/>
      <c r="AZ44" s="31"/>
      <c r="BA44" s="7"/>
    </row>
    <row r="45" spans="1:53" ht="15.75" x14ac:dyDescent="0.2">
      <c r="A45" s="85"/>
      <c r="B45" s="247" t="s">
        <v>3</v>
      </c>
      <c r="C45" s="87"/>
      <c r="D45" s="86"/>
      <c r="E45" s="86"/>
      <c r="F45" s="86"/>
      <c r="G45" s="86"/>
      <c r="H45" s="87"/>
      <c r="I45" s="87"/>
      <c r="J45" s="87"/>
      <c r="K45" s="86"/>
      <c r="L45" s="86"/>
      <c r="M45" s="86"/>
      <c r="N45" s="86"/>
      <c r="O45" s="86"/>
      <c r="P45" s="87"/>
      <c r="Q45" s="87"/>
      <c r="R45" s="87"/>
      <c r="S45" s="189"/>
      <c r="T45" s="213"/>
      <c r="U45" s="189"/>
      <c r="V45" s="189"/>
      <c r="W45" s="214"/>
      <c r="X45" s="189"/>
      <c r="Y45" s="215"/>
      <c r="Z45" s="660">
        <v>0.60632923952510254</v>
      </c>
      <c r="AA45" s="660">
        <v>0.62492143827836399</v>
      </c>
      <c r="AB45" s="660">
        <v>0.64022148803287837</v>
      </c>
      <c r="AC45" s="660">
        <v>0.64828081871249033</v>
      </c>
      <c r="AD45" s="660">
        <v>0.6496697381101384</v>
      </c>
      <c r="AE45" s="660">
        <v>0.65708856098554747</v>
      </c>
      <c r="AF45" s="660">
        <v>0.66405195238403536</v>
      </c>
      <c r="AG45" s="660">
        <v>0.67267815529324837</v>
      </c>
      <c r="AH45" s="660">
        <v>0.67478072024714364</v>
      </c>
      <c r="AI45" s="660">
        <v>0.67537432012126697</v>
      </c>
      <c r="AJ45" s="660">
        <v>0.6716542500556183</v>
      </c>
      <c r="AK45" s="660">
        <v>0.66363459458277485</v>
      </c>
      <c r="AL45" s="660">
        <v>0.65640574231174709</v>
      </c>
      <c r="AM45" s="660">
        <v>0.6532240303949427</v>
      </c>
      <c r="AN45" s="660">
        <v>0.65139652133769221</v>
      </c>
      <c r="AO45" s="660">
        <v>0.65145781012983295</v>
      </c>
      <c r="AP45" s="660">
        <v>0.65798607638835604</v>
      </c>
      <c r="AQ45" s="660">
        <v>0.65224783814372655</v>
      </c>
      <c r="AR45" s="7"/>
      <c r="AS45" s="7"/>
      <c r="AT45" s="7"/>
      <c r="AU45" s="7"/>
      <c r="AV45" s="7"/>
      <c r="AW45" s="7"/>
      <c r="AX45" s="7"/>
      <c r="AY45" s="7"/>
      <c r="AZ45" s="31"/>
      <c r="BA45" s="7"/>
    </row>
    <row r="46" spans="1:53" ht="15.75" x14ac:dyDescent="0.2">
      <c r="A46" s="85"/>
      <c r="B46" s="247" t="s">
        <v>4</v>
      </c>
      <c r="C46" s="87"/>
      <c r="D46" s="86"/>
      <c r="E46" s="86"/>
      <c r="F46" s="86"/>
      <c r="G46" s="86"/>
      <c r="H46" s="87"/>
      <c r="I46" s="87"/>
      <c r="J46" s="87"/>
      <c r="K46" s="86"/>
      <c r="L46" s="86"/>
      <c r="M46" s="86"/>
      <c r="N46" s="86"/>
      <c r="O46" s="86"/>
      <c r="P46" s="87"/>
      <c r="Q46" s="87"/>
      <c r="R46" s="87"/>
      <c r="S46" s="189"/>
      <c r="T46" s="213"/>
      <c r="U46" s="189"/>
      <c r="V46" s="189"/>
      <c r="W46" s="214"/>
      <c r="X46" s="189"/>
      <c r="Y46" s="215"/>
      <c r="Z46" s="660">
        <v>0.57187315121684945</v>
      </c>
      <c r="AA46" s="660">
        <v>0.58768391786719487</v>
      </c>
      <c r="AB46" s="660">
        <v>0.6062777528178962</v>
      </c>
      <c r="AC46" s="660">
        <v>0.61697493283649119</v>
      </c>
      <c r="AD46" s="660">
        <v>0.62044011986262793</v>
      </c>
      <c r="AE46" s="660">
        <v>0.62965000974518448</v>
      </c>
      <c r="AF46" s="660">
        <v>0.63810891700653305</v>
      </c>
      <c r="AG46" s="660">
        <v>0.64722729590972183</v>
      </c>
      <c r="AH46" s="660">
        <v>0.64962185408790396</v>
      </c>
      <c r="AI46" s="660">
        <v>0.65017488453316807</v>
      </c>
      <c r="AJ46" s="660">
        <v>0.64648159010727158</v>
      </c>
      <c r="AK46" s="660">
        <v>0.63885278986282945</v>
      </c>
      <c r="AL46" s="660">
        <v>0.63156734562526406</v>
      </c>
      <c r="AM46" s="660">
        <v>0.62785885725197388</v>
      </c>
      <c r="AN46" s="660">
        <v>0.62495648390794289</v>
      </c>
      <c r="AO46" s="660">
        <v>0.62397723674570038</v>
      </c>
      <c r="AP46" s="660">
        <v>0.62730191251656509</v>
      </c>
      <c r="AQ46" s="660">
        <v>0.6311815888011818</v>
      </c>
      <c r="AR46" s="7"/>
      <c r="AS46" s="7"/>
      <c r="AT46" s="7"/>
      <c r="AU46" s="7"/>
      <c r="AV46" s="7"/>
      <c r="AW46" s="7"/>
      <c r="AX46" s="7"/>
      <c r="AY46" s="7"/>
      <c r="AZ46" s="31"/>
      <c r="BA46" s="7"/>
    </row>
    <row r="47" spans="1:53" s="16" customFormat="1" ht="15.75" x14ac:dyDescent="0.2">
      <c r="A47" s="444"/>
      <c r="B47" s="375" t="s">
        <v>5</v>
      </c>
      <c r="C47" s="87"/>
      <c r="D47" s="86"/>
      <c r="E47" s="86"/>
      <c r="F47" s="86"/>
      <c r="G47" s="86"/>
      <c r="H47" s="87"/>
      <c r="I47" s="87"/>
      <c r="J47" s="87"/>
      <c r="K47" s="86"/>
      <c r="L47" s="86"/>
      <c r="M47" s="86"/>
      <c r="N47" s="86"/>
      <c r="O47" s="86"/>
      <c r="P47" s="87"/>
      <c r="Q47" s="87"/>
      <c r="R47" s="87"/>
      <c r="S47" s="189"/>
      <c r="T47" s="213"/>
      <c r="U47" s="189"/>
      <c r="V47" s="189"/>
      <c r="W47" s="214"/>
      <c r="X47" s="189"/>
      <c r="Y47" s="215"/>
      <c r="Z47" s="660">
        <v>0.55453149979135519</v>
      </c>
      <c r="AA47" s="660">
        <v>0.57549527631663633</v>
      </c>
      <c r="AB47" s="660">
        <v>0.59170641136970403</v>
      </c>
      <c r="AC47" s="660">
        <v>0.59959953539397604</v>
      </c>
      <c r="AD47" s="660">
        <v>0.60028574974751225</v>
      </c>
      <c r="AE47" s="660">
        <v>0.60513051397551809</v>
      </c>
      <c r="AF47" s="660">
        <v>0.61166398599660077</v>
      </c>
      <c r="AG47" s="660">
        <v>0.61925487125472423</v>
      </c>
      <c r="AH47" s="660">
        <v>0.62079826401526805</v>
      </c>
      <c r="AI47" s="660">
        <v>0.62004012422153321</v>
      </c>
      <c r="AJ47" s="660">
        <v>0.61515320082259217</v>
      </c>
      <c r="AK47" s="660">
        <v>0.60764995047975323</v>
      </c>
      <c r="AL47" s="660">
        <v>0.60057972171131069</v>
      </c>
      <c r="AM47" s="660">
        <v>0.59739571831126681</v>
      </c>
      <c r="AN47" s="660">
        <v>0.59729460425985104</v>
      </c>
      <c r="AO47" s="660">
        <v>0.59922885195330733</v>
      </c>
      <c r="AP47" s="660">
        <v>0.60979652327843903</v>
      </c>
      <c r="AQ47" s="660">
        <v>0.61329608539288061</v>
      </c>
      <c r="AR47" s="4"/>
      <c r="AS47" s="4"/>
      <c r="AT47" s="4"/>
      <c r="AU47" s="4"/>
      <c r="AV47" s="4"/>
      <c r="AW47" s="4"/>
      <c r="AX47" s="4"/>
      <c r="AY47" s="4"/>
      <c r="AZ47" s="477"/>
      <c r="BA47" s="4"/>
    </row>
    <row r="48" spans="1:53" ht="15.75" x14ac:dyDescent="0.2">
      <c r="A48" s="85"/>
      <c r="B48" s="247" t="s">
        <v>251</v>
      </c>
      <c r="C48" s="87"/>
      <c r="D48" s="86"/>
      <c r="E48" s="86"/>
      <c r="F48" s="86"/>
      <c r="G48" s="86"/>
      <c r="H48" s="87"/>
      <c r="I48" s="87"/>
      <c r="J48" s="87"/>
      <c r="K48" s="86"/>
      <c r="L48" s="86"/>
      <c r="M48" s="86"/>
      <c r="N48" s="86"/>
      <c r="O48" s="86"/>
      <c r="P48" s="87"/>
      <c r="Q48" s="87"/>
      <c r="R48" s="87"/>
      <c r="S48" s="189"/>
      <c r="T48" s="213"/>
      <c r="U48" s="189"/>
      <c r="V48" s="189"/>
      <c r="W48" s="214"/>
      <c r="X48" s="189"/>
      <c r="Y48" s="215"/>
      <c r="Z48" s="660">
        <v>0.57671938743890738</v>
      </c>
      <c r="AA48" s="660">
        <v>0.59627165841545893</v>
      </c>
      <c r="AB48" s="660">
        <v>0.61480496810641372</v>
      </c>
      <c r="AC48" s="660">
        <v>0.62653648127349726</v>
      </c>
      <c r="AD48" s="660">
        <v>0.63211848467721665</v>
      </c>
      <c r="AE48" s="660">
        <v>0.63951975755810486</v>
      </c>
      <c r="AF48" s="660">
        <v>0.64611935492957973</v>
      </c>
      <c r="AG48" s="660">
        <v>0.65207308654270202</v>
      </c>
      <c r="AH48" s="660">
        <v>0.65206809854017733</v>
      </c>
      <c r="AI48" s="660">
        <v>0.65024114018802293</v>
      </c>
      <c r="AJ48" s="660">
        <v>0.64470509727047642</v>
      </c>
      <c r="AK48" s="660">
        <v>0.63570465044282654</v>
      </c>
      <c r="AL48" s="660">
        <v>0.62702918306344979</v>
      </c>
      <c r="AM48" s="660">
        <v>0.62232558313720099</v>
      </c>
      <c r="AN48" s="660">
        <v>0.6199755995732612</v>
      </c>
      <c r="AO48" s="660">
        <v>0.61996866138020312</v>
      </c>
      <c r="AP48" s="660">
        <v>0.62804822756146683</v>
      </c>
      <c r="AQ48" s="660">
        <v>0.62837844783619401</v>
      </c>
      <c r="AR48" s="7"/>
      <c r="AS48" s="7"/>
      <c r="AT48" s="7"/>
      <c r="AU48" s="7"/>
      <c r="AV48" s="7"/>
      <c r="AW48" s="7"/>
      <c r="AX48" s="7"/>
      <c r="AY48" s="7"/>
      <c r="AZ48" s="31"/>
      <c r="BA48" s="7"/>
    </row>
    <row r="49" spans="1:53" ht="15.75" x14ac:dyDescent="0.2">
      <c r="A49" s="85"/>
      <c r="B49" s="247" t="s">
        <v>252</v>
      </c>
      <c r="C49" s="87"/>
      <c r="D49" s="86"/>
      <c r="E49" s="86"/>
      <c r="F49" s="86"/>
      <c r="G49" s="86"/>
      <c r="H49" s="87"/>
      <c r="I49" s="87"/>
      <c r="J49" s="87"/>
      <c r="K49" s="86"/>
      <c r="L49" s="86"/>
      <c r="M49" s="86"/>
      <c r="N49" s="86"/>
      <c r="O49" s="86"/>
      <c r="P49" s="87"/>
      <c r="Q49" s="87"/>
      <c r="R49" s="87"/>
      <c r="S49" s="189"/>
      <c r="T49" s="213"/>
      <c r="U49" s="189"/>
      <c r="V49" s="189"/>
      <c r="W49" s="214"/>
      <c r="X49" s="189"/>
      <c r="Y49" s="215"/>
      <c r="Z49" s="660">
        <v>0.57560630286216752</v>
      </c>
      <c r="AA49" s="660">
        <v>0.59838978548259236</v>
      </c>
      <c r="AB49" s="660">
        <v>0.61879919334428057</v>
      </c>
      <c r="AC49" s="660">
        <v>0.63155978405958235</v>
      </c>
      <c r="AD49" s="660">
        <v>0.63723460362892859</v>
      </c>
      <c r="AE49" s="660">
        <v>0.64621935033319056</v>
      </c>
      <c r="AF49" s="660">
        <v>0.65344671979142022</v>
      </c>
      <c r="AG49" s="660">
        <v>0.66085554289569171</v>
      </c>
      <c r="AH49" s="660">
        <v>0.66198568412313064</v>
      </c>
      <c r="AI49" s="660">
        <v>0.66151303488884683</v>
      </c>
      <c r="AJ49" s="660">
        <v>0.656984560321074</v>
      </c>
      <c r="AK49" s="660">
        <v>0.64859581482220374</v>
      </c>
      <c r="AL49" s="660">
        <v>0.64089338945297869</v>
      </c>
      <c r="AM49" s="660">
        <v>0.63738016086850147</v>
      </c>
      <c r="AN49" s="660">
        <v>0.6351585789524592</v>
      </c>
      <c r="AO49" s="660">
        <v>0.63463751306263472</v>
      </c>
      <c r="AP49" s="660">
        <v>0.64361789465659669</v>
      </c>
      <c r="AQ49" s="660">
        <v>0.65061407948173255</v>
      </c>
      <c r="AR49" s="7"/>
      <c r="AS49" s="7"/>
      <c r="AT49" s="7"/>
      <c r="AU49" s="7"/>
      <c r="AV49" s="7"/>
      <c r="AW49" s="7"/>
      <c r="AX49" s="7"/>
      <c r="AY49" s="7"/>
      <c r="AZ49" s="31"/>
      <c r="BA49" s="7"/>
    </row>
    <row r="50" spans="1:53" ht="15.75" x14ac:dyDescent="0.2">
      <c r="A50" s="85"/>
      <c r="B50" s="247" t="s">
        <v>6</v>
      </c>
      <c r="C50" s="87"/>
      <c r="D50" s="86"/>
      <c r="E50" s="86"/>
      <c r="F50" s="86"/>
      <c r="G50" s="86"/>
      <c r="H50" s="87"/>
      <c r="I50" s="87"/>
      <c r="J50" s="87"/>
      <c r="K50" s="86"/>
      <c r="L50" s="86"/>
      <c r="M50" s="86"/>
      <c r="N50" s="86"/>
      <c r="O50" s="86"/>
      <c r="P50" s="87"/>
      <c r="Q50" s="87"/>
      <c r="R50" s="87"/>
      <c r="S50" s="189"/>
      <c r="T50" s="213"/>
      <c r="U50" s="189"/>
      <c r="V50" s="189"/>
      <c r="W50" s="214"/>
      <c r="X50" s="189"/>
      <c r="Y50" s="215"/>
      <c r="Z50" s="660">
        <v>0.57187315121684945</v>
      </c>
      <c r="AA50" s="660">
        <v>0.59277563773497111</v>
      </c>
      <c r="AB50" s="660">
        <v>0.61142689668973604</v>
      </c>
      <c r="AC50" s="660">
        <v>0.62317221934146927</v>
      </c>
      <c r="AD50" s="660">
        <v>0.6288528760098776</v>
      </c>
      <c r="AE50" s="660">
        <v>0.63586658656546113</v>
      </c>
      <c r="AF50" s="660">
        <v>0.64210352555849504</v>
      </c>
      <c r="AG50" s="660">
        <v>0.64716719507054443</v>
      </c>
      <c r="AH50" s="660">
        <v>0.64673431045422936</v>
      </c>
      <c r="AI50" s="660">
        <v>0.64418559722078139</v>
      </c>
      <c r="AJ50" s="660">
        <v>0.63850740628211999</v>
      </c>
      <c r="AK50" s="660">
        <v>0.63027966347472364</v>
      </c>
      <c r="AL50" s="660">
        <v>0.62254084098519225</v>
      </c>
      <c r="AM50" s="660">
        <v>0.61793924366137631</v>
      </c>
      <c r="AN50" s="660">
        <v>0.6154988654077016</v>
      </c>
      <c r="AO50" s="660">
        <v>0.61553242461583335</v>
      </c>
      <c r="AP50" s="660">
        <v>0.62510390080160017</v>
      </c>
      <c r="AQ50" s="660">
        <v>0.62505177950340651</v>
      </c>
      <c r="AR50" s="7"/>
      <c r="AS50" s="7"/>
      <c r="AT50" s="7"/>
      <c r="AU50" s="7"/>
      <c r="AV50" s="7"/>
      <c r="AW50" s="7"/>
      <c r="AX50" s="7"/>
      <c r="AY50" s="7"/>
      <c r="AZ50" s="31"/>
      <c r="BA50" s="7"/>
    </row>
    <row r="51" spans="1:53" s="16" customFormat="1" ht="15.75" x14ac:dyDescent="0.2">
      <c r="A51" s="444"/>
      <c r="B51" s="375" t="s">
        <v>8</v>
      </c>
      <c r="C51" s="87"/>
      <c r="D51" s="86"/>
      <c r="E51" s="86"/>
      <c r="F51" s="86"/>
      <c r="G51" s="86"/>
      <c r="H51" s="87"/>
      <c r="I51" s="87"/>
      <c r="J51" s="87"/>
      <c r="K51" s="86"/>
      <c r="L51" s="86"/>
      <c r="M51" s="86"/>
      <c r="N51" s="86"/>
      <c r="O51" s="86"/>
      <c r="P51" s="87"/>
      <c r="Q51" s="87"/>
      <c r="R51" s="87"/>
      <c r="S51" s="189"/>
      <c r="T51" s="213"/>
      <c r="U51" s="189"/>
      <c r="V51" s="189"/>
      <c r="W51" s="214"/>
      <c r="X51" s="189"/>
      <c r="Y51" s="215"/>
      <c r="Z51" s="660">
        <v>0.57828291499003903</v>
      </c>
      <c r="AA51" s="660">
        <v>0.6044453861636504</v>
      </c>
      <c r="AB51" s="660">
        <v>0.62494923047509343</v>
      </c>
      <c r="AC51" s="660">
        <v>0.63934576993899028</v>
      </c>
      <c r="AD51" s="660">
        <v>0.64828867058413953</v>
      </c>
      <c r="AE51" s="660">
        <v>0.6579091736113627</v>
      </c>
      <c r="AF51" s="660">
        <v>0.66522281265116767</v>
      </c>
      <c r="AG51" s="660">
        <v>0.67105705178608843</v>
      </c>
      <c r="AH51" s="660">
        <v>0.67207204355352024</v>
      </c>
      <c r="AI51" s="660">
        <v>0.67113416479471466</v>
      </c>
      <c r="AJ51" s="660">
        <v>0.66599999665812937</v>
      </c>
      <c r="AK51" s="660">
        <v>0.65604105451731343</v>
      </c>
      <c r="AL51" s="660">
        <v>0.64627062821174253</v>
      </c>
      <c r="AM51" s="660">
        <v>0.64029315127559805</v>
      </c>
      <c r="AN51" s="660">
        <v>0.63628404780379721</v>
      </c>
      <c r="AO51" s="660">
        <v>0.63452532107273851</v>
      </c>
      <c r="AP51" s="660">
        <v>0.63995604987240173</v>
      </c>
      <c r="AQ51" s="660">
        <v>0.64154233444422659</v>
      </c>
      <c r="AR51" s="4"/>
      <c r="AS51" s="4"/>
      <c r="AT51" s="4"/>
      <c r="AU51" s="4"/>
      <c r="AV51" s="4"/>
      <c r="AW51" s="4"/>
      <c r="AX51" s="4"/>
      <c r="AY51" s="4"/>
      <c r="AZ51" s="477"/>
      <c r="BA51" s="4"/>
    </row>
    <row r="52" spans="1:53" s="16" customFormat="1" ht="15.75" x14ac:dyDescent="0.2">
      <c r="A52" s="444"/>
      <c r="B52" s="375" t="s">
        <v>7</v>
      </c>
      <c r="C52" s="87"/>
      <c r="D52" s="86"/>
      <c r="E52" s="86"/>
      <c r="F52" s="86"/>
      <c r="G52" s="86"/>
      <c r="H52" s="87"/>
      <c r="I52" s="87"/>
      <c r="J52" s="87"/>
      <c r="K52" s="86"/>
      <c r="L52" s="86"/>
      <c r="M52" s="86"/>
      <c r="N52" s="86"/>
      <c r="O52" s="86"/>
      <c r="P52" s="87"/>
      <c r="Q52" s="87"/>
      <c r="R52" s="87"/>
      <c r="S52" s="189"/>
      <c r="T52" s="213"/>
      <c r="U52" s="189"/>
      <c r="V52" s="189"/>
      <c r="W52" s="214"/>
      <c r="X52" s="189"/>
      <c r="Y52" s="215"/>
      <c r="Z52" s="660">
        <v>0.57828291499003903</v>
      </c>
      <c r="AA52" s="660">
        <v>0.60116385166182629</v>
      </c>
      <c r="AB52" s="660">
        <v>0.62126878974111643</v>
      </c>
      <c r="AC52" s="660">
        <v>0.63475086487774202</v>
      </c>
      <c r="AD52" s="660">
        <v>0.64267417951801442</v>
      </c>
      <c r="AE52" s="660">
        <v>0.65181745210606112</v>
      </c>
      <c r="AF52" s="660">
        <v>0.6590536725761923</v>
      </c>
      <c r="AG52" s="660">
        <v>0.66450600559301343</v>
      </c>
      <c r="AH52" s="660">
        <v>0.66440018592144345</v>
      </c>
      <c r="AI52" s="660">
        <v>0.66188799284287103</v>
      </c>
      <c r="AJ52" s="660">
        <v>0.65492893256320772</v>
      </c>
      <c r="AK52" s="660">
        <v>0.64313005944660473</v>
      </c>
      <c r="AL52" s="660">
        <v>0.63172034583564129</v>
      </c>
      <c r="AM52" s="660">
        <v>0.62408759804489122</v>
      </c>
      <c r="AN52" s="660">
        <v>0.61893108107710293</v>
      </c>
      <c r="AO52" s="660">
        <v>0.61628484451337051</v>
      </c>
      <c r="AP52" s="660">
        <v>0.62215579895550643</v>
      </c>
      <c r="AQ52" s="660">
        <v>0.62160714478739498</v>
      </c>
      <c r="AR52" s="4"/>
      <c r="AS52" s="4"/>
      <c r="AT52" s="4"/>
      <c r="AU52" s="4"/>
      <c r="AV52" s="4"/>
      <c r="AW52" s="4"/>
      <c r="AX52" s="4"/>
      <c r="AY52" s="4"/>
      <c r="AZ52" s="477"/>
      <c r="BA52" s="4"/>
    </row>
    <row r="53" spans="1:53" ht="15.75" x14ac:dyDescent="0.2">
      <c r="A53" s="85"/>
      <c r="B53" s="280" t="s">
        <v>800</v>
      </c>
      <c r="C53" s="87"/>
      <c r="D53" s="86"/>
      <c r="E53" s="86"/>
      <c r="F53" s="86"/>
      <c r="G53" s="86"/>
      <c r="H53" s="87"/>
      <c r="I53" s="87"/>
      <c r="J53" s="87"/>
      <c r="K53" s="86"/>
      <c r="L53" s="86"/>
      <c r="M53" s="86"/>
      <c r="N53" s="86"/>
      <c r="O53" s="86"/>
      <c r="P53" s="87"/>
      <c r="Q53" s="87"/>
      <c r="R53" s="87"/>
      <c r="S53" s="189"/>
      <c r="T53" s="213"/>
      <c r="U53" s="189"/>
      <c r="V53" s="189"/>
      <c r="W53" s="214"/>
      <c r="X53" s="189"/>
      <c r="Y53" s="215"/>
      <c r="Z53" s="660">
        <v>0.57828291499003903</v>
      </c>
      <c r="AA53" s="660">
        <v>0.60259198528040048</v>
      </c>
      <c r="AB53" s="660">
        <v>0.61987684962938272</v>
      </c>
      <c r="AC53" s="660">
        <v>0.63069817070713141</v>
      </c>
      <c r="AD53" s="660">
        <v>0.63573936093398176</v>
      </c>
      <c r="AE53" s="660">
        <v>0.64201924505003205</v>
      </c>
      <c r="AF53" s="660">
        <v>0.64953726863368866</v>
      </c>
      <c r="AG53" s="660">
        <v>0.65654508425104829</v>
      </c>
      <c r="AH53" s="660">
        <v>0.65756174277874635</v>
      </c>
      <c r="AI53" s="660">
        <v>0.6562625069633945</v>
      </c>
      <c r="AJ53" s="660">
        <v>0.65085653736570048</v>
      </c>
      <c r="AK53" s="660">
        <v>0.64129706578642742</v>
      </c>
      <c r="AL53" s="660">
        <v>0.63185752373912651</v>
      </c>
      <c r="AM53" s="660">
        <v>0.6262864471917069</v>
      </c>
      <c r="AN53" s="660">
        <v>0.62265302510900189</v>
      </c>
      <c r="AO53" s="660">
        <v>0.62129368367160265</v>
      </c>
      <c r="AP53" s="660">
        <v>0.63179740248205762</v>
      </c>
      <c r="AQ53" s="660">
        <v>0.63594047997733316</v>
      </c>
      <c r="AR53" s="7"/>
      <c r="AS53" s="7"/>
      <c r="AT53" s="7"/>
      <c r="AU53" s="247"/>
      <c r="AV53" s="92"/>
      <c r="AW53" s="92"/>
      <c r="AX53" s="92"/>
      <c r="AY53" s="92"/>
      <c r="AZ53" s="93"/>
      <c r="BA53" s="7"/>
    </row>
    <row r="54" spans="1:53" ht="15.75" x14ac:dyDescent="0.2">
      <c r="A54" s="85"/>
      <c r="B54" s="87"/>
      <c r="C54" s="87"/>
      <c r="D54" s="86"/>
      <c r="E54" s="86"/>
      <c r="F54" s="86"/>
      <c r="G54" s="86"/>
      <c r="H54" s="87"/>
      <c r="I54" s="87"/>
      <c r="J54" s="87"/>
      <c r="K54" s="86"/>
      <c r="L54" s="86"/>
      <c r="M54" s="86"/>
      <c r="N54" s="86"/>
      <c r="O54" s="86"/>
      <c r="P54" s="87"/>
      <c r="Q54" s="87"/>
      <c r="R54" s="87"/>
      <c r="S54" s="189"/>
      <c r="T54" s="213"/>
      <c r="U54" s="189"/>
      <c r="V54" s="189"/>
      <c r="W54" s="214"/>
      <c r="X54" s="189"/>
      <c r="Y54" s="215"/>
      <c r="Z54" s="92"/>
      <c r="AA54" s="92"/>
      <c r="AB54" s="92"/>
      <c r="AC54" s="92"/>
      <c r="AD54" s="92"/>
      <c r="AE54" s="92"/>
      <c r="AF54" s="247"/>
      <c r="AG54" s="92"/>
      <c r="AH54" s="92"/>
      <c r="AI54" s="92"/>
      <c r="AJ54" s="92"/>
      <c r="AK54" s="92"/>
      <c r="AL54" s="92"/>
      <c r="AM54" s="92"/>
      <c r="AN54" s="92"/>
      <c r="AO54" s="92"/>
      <c r="AP54" s="92"/>
      <c r="AQ54" s="92"/>
      <c r="AR54" s="7"/>
      <c r="AS54" s="7"/>
      <c r="AT54" s="7"/>
      <c r="AU54" s="92"/>
      <c r="AV54" s="92"/>
      <c r="AW54" s="92"/>
      <c r="AX54" s="7"/>
      <c r="AY54" s="7"/>
      <c r="AZ54" s="31"/>
      <c r="BA54" s="7"/>
    </row>
    <row r="55" spans="1:53" s="16" customFormat="1" ht="60" x14ac:dyDescent="0.2">
      <c r="A55" s="444">
        <v>19</v>
      </c>
      <c r="B55" s="87" t="s">
        <v>23</v>
      </c>
      <c r="C55" s="87" t="s">
        <v>343</v>
      </c>
      <c r="D55" s="86" t="s">
        <v>329</v>
      </c>
      <c r="E55" s="86" t="s">
        <v>340</v>
      </c>
      <c r="F55" s="86"/>
      <c r="G55" s="86" t="s">
        <v>279</v>
      </c>
      <c r="H55" s="87" t="s">
        <v>919</v>
      </c>
      <c r="I55" s="87" t="s">
        <v>336</v>
      </c>
      <c r="J55" s="87" t="s">
        <v>286</v>
      </c>
      <c r="K55" s="86" t="s">
        <v>337</v>
      </c>
      <c r="L55" s="86"/>
      <c r="M55" s="86" t="s">
        <v>918</v>
      </c>
      <c r="N55" s="86" t="s">
        <v>286</v>
      </c>
      <c r="O55" s="86" t="s">
        <v>292</v>
      </c>
      <c r="P55" s="87" t="s">
        <v>335</v>
      </c>
      <c r="Q55" s="87" t="s">
        <v>289</v>
      </c>
      <c r="R55" s="87" t="s">
        <v>922</v>
      </c>
      <c r="S55" s="189" t="s">
        <v>794</v>
      </c>
      <c r="T55" s="213" t="s">
        <v>794</v>
      </c>
      <c r="U55" s="189"/>
      <c r="V55" s="189"/>
      <c r="W55" s="214"/>
      <c r="X55" s="189"/>
      <c r="Y55" s="215"/>
      <c r="Z55" s="829" t="s">
        <v>846</v>
      </c>
      <c r="AA55" s="830"/>
      <c r="AB55" s="831"/>
      <c r="AC55" s="822" t="s">
        <v>242</v>
      </c>
      <c r="AD55" s="822"/>
      <c r="AE55" s="822"/>
      <c r="AF55" s="822" t="s">
        <v>847</v>
      </c>
      <c r="AG55" s="822"/>
      <c r="AH55" s="822"/>
      <c r="AI55" s="822" t="s">
        <v>848</v>
      </c>
      <c r="AJ55" s="822"/>
      <c r="AK55" s="822"/>
      <c r="AL55" s="822" t="s">
        <v>849</v>
      </c>
      <c r="AM55" s="822"/>
      <c r="AN55" s="822"/>
      <c r="AO55" s="822" t="s">
        <v>850</v>
      </c>
      <c r="AP55" s="822"/>
      <c r="AQ55" s="822"/>
      <c r="AR55" s="822" t="s">
        <v>851</v>
      </c>
      <c r="AS55" s="822"/>
      <c r="AT55" s="822"/>
      <c r="AU55" s="822" t="s">
        <v>852</v>
      </c>
      <c r="AV55" s="822"/>
      <c r="AW55" s="822"/>
      <c r="AX55" s="822" t="s">
        <v>853</v>
      </c>
      <c r="AY55" s="822"/>
      <c r="AZ55" s="822"/>
      <c r="BA55" s="4"/>
    </row>
    <row r="56" spans="1:53" ht="25.5" customHeight="1" x14ac:dyDescent="0.2">
      <c r="A56" s="661"/>
      <c r="B56" s="7"/>
      <c r="C56" s="7"/>
      <c r="D56" s="7"/>
      <c r="E56" s="7"/>
      <c r="F56" s="7"/>
      <c r="G56" s="7"/>
      <c r="H56" s="7"/>
      <c r="I56" s="7"/>
      <c r="J56" s="7"/>
      <c r="K56" s="7"/>
      <c r="L56" s="7"/>
      <c r="M56" s="7"/>
      <c r="N56" s="7"/>
      <c r="O56" s="7"/>
      <c r="P56" s="7"/>
      <c r="Q56" s="7"/>
      <c r="R56" s="7"/>
      <c r="S56" s="7"/>
      <c r="T56" s="452"/>
      <c r="U56" s="271"/>
      <c r="V56" s="271"/>
      <c r="W56" s="271"/>
      <c r="X56" s="271"/>
      <c r="Y56" s="447"/>
      <c r="Z56" s="679" t="s">
        <v>854</v>
      </c>
      <c r="AA56" s="692" t="s">
        <v>855</v>
      </c>
      <c r="AB56" s="692" t="s">
        <v>856</v>
      </c>
      <c r="AC56" s="692" t="s">
        <v>854</v>
      </c>
      <c r="AD56" s="692" t="s">
        <v>855</v>
      </c>
      <c r="AE56" s="692" t="s">
        <v>856</v>
      </c>
      <c r="AF56" s="679" t="s">
        <v>854</v>
      </c>
      <c r="AG56" s="692" t="s">
        <v>855</v>
      </c>
      <c r="AH56" s="692" t="s">
        <v>856</v>
      </c>
      <c r="AI56" s="679" t="s">
        <v>854</v>
      </c>
      <c r="AJ56" s="692" t="s">
        <v>855</v>
      </c>
      <c r="AK56" s="692" t="s">
        <v>856</v>
      </c>
      <c r="AL56" s="692" t="s">
        <v>854</v>
      </c>
      <c r="AM56" s="692" t="s">
        <v>855</v>
      </c>
      <c r="AN56" s="692" t="s">
        <v>856</v>
      </c>
      <c r="AO56" s="692" t="s">
        <v>854</v>
      </c>
      <c r="AP56" s="692" t="s">
        <v>855</v>
      </c>
      <c r="AQ56" s="692" t="s">
        <v>856</v>
      </c>
      <c r="AR56" s="679" t="s">
        <v>854</v>
      </c>
      <c r="AS56" s="692" t="s">
        <v>855</v>
      </c>
      <c r="AT56" s="692" t="s">
        <v>856</v>
      </c>
      <c r="AU56" s="692" t="s">
        <v>854</v>
      </c>
      <c r="AV56" s="692" t="s">
        <v>855</v>
      </c>
      <c r="AW56" s="692" t="s">
        <v>856</v>
      </c>
      <c r="AX56" s="679" t="s">
        <v>854</v>
      </c>
      <c r="AY56" s="692" t="s">
        <v>855</v>
      </c>
      <c r="AZ56" s="692" t="s">
        <v>856</v>
      </c>
    </row>
    <row r="57" spans="1:53" s="446" customFormat="1" ht="15.75" x14ac:dyDescent="0.2">
      <c r="A57" s="662"/>
      <c r="B57" s="239" t="s">
        <v>857</v>
      </c>
      <c r="C57" s="239"/>
      <c r="D57" s="239"/>
      <c r="E57" s="239"/>
      <c r="F57" s="239"/>
      <c r="G57" s="239"/>
      <c r="H57" s="239"/>
      <c r="I57" s="239"/>
      <c r="J57" s="239"/>
      <c r="K57" s="239"/>
      <c r="L57" s="239"/>
      <c r="M57" s="239"/>
      <c r="N57" s="239"/>
      <c r="O57" s="239"/>
      <c r="P57" s="239"/>
      <c r="Q57" s="239"/>
      <c r="R57" s="239"/>
      <c r="S57" s="239"/>
      <c r="T57" s="453"/>
      <c r="U57" s="445"/>
      <c r="V57" s="445"/>
      <c r="W57" s="445"/>
      <c r="X57" s="445"/>
      <c r="Y57" s="448"/>
      <c r="Z57" s="239">
        <v>51.6</v>
      </c>
      <c r="AA57" s="239">
        <v>55.5</v>
      </c>
      <c r="AB57" s="363">
        <v>59.3</v>
      </c>
      <c r="AC57" s="239">
        <v>46</v>
      </c>
      <c r="AD57" s="239">
        <v>49.8</v>
      </c>
      <c r="AE57" s="364">
        <v>52.7</v>
      </c>
      <c r="AF57" s="239">
        <v>58.1</v>
      </c>
      <c r="AG57" s="239" t="s">
        <v>859</v>
      </c>
      <c r="AH57" s="364">
        <v>63.3</v>
      </c>
      <c r="AI57" s="239">
        <v>51</v>
      </c>
      <c r="AJ57" s="239">
        <v>55.2</v>
      </c>
      <c r="AK57" s="363">
        <v>58.7</v>
      </c>
      <c r="AL57" s="239">
        <v>59</v>
      </c>
      <c r="AM57" s="239">
        <v>60.8</v>
      </c>
      <c r="AN57" s="363">
        <v>63.8</v>
      </c>
      <c r="AO57" s="239">
        <v>53</v>
      </c>
      <c r="AP57" s="239">
        <v>56.6</v>
      </c>
      <c r="AQ57" s="364">
        <v>60.1</v>
      </c>
      <c r="AR57" s="239">
        <v>55.9</v>
      </c>
      <c r="AS57" s="239">
        <v>57.9</v>
      </c>
      <c r="AT57" s="363">
        <v>60.1</v>
      </c>
      <c r="AU57" s="239">
        <v>49.5</v>
      </c>
      <c r="AV57" s="239">
        <v>54.3</v>
      </c>
      <c r="AW57" s="364">
        <v>58.9</v>
      </c>
      <c r="AX57" s="239">
        <v>63.7</v>
      </c>
      <c r="AY57" s="239">
        <v>66.099999999999994</v>
      </c>
      <c r="AZ57" s="364">
        <v>70.099999999999994</v>
      </c>
    </row>
    <row r="58" spans="1:53" s="446" customFormat="1" ht="15.75" x14ac:dyDescent="0.2">
      <c r="A58" s="663"/>
      <c r="B58" s="664" t="s">
        <v>858</v>
      </c>
      <c r="C58" s="664"/>
      <c r="D58" s="664"/>
      <c r="E58" s="664"/>
      <c r="F58" s="664"/>
      <c r="G58" s="664"/>
      <c r="H58" s="664"/>
      <c r="I58" s="664"/>
      <c r="J58" s="664"/>
      <c r="K58" s="664"/>
      <c r="L58" s="664"/>
      <c r="M58" s="664"/>
      <c r="N58" s="664"/>
      <c r="O58" s="664"/>
      <c r="P58" s="664"/>
      <c r="Q58" s="664"/>
      <c r="R58" s="664"/>
      <c r="S58" s="664"/>
      <c r="T58" s="665"/>
      <c r="U58" s="666"/>
      <c r="V58" s="666"/>
      <c r="W58" s="666"/>
      <c r="X58" s="666"/>
      <c r="Y58" s="667"/>
      <c r="Z58" s="664">
        <v>47.4</v>
      </c>
      <c r="AA58" s="664">
        <v>49.8</v>
      </c>
      <c r="AB58" s="668">
        <v>53.7</v>
      </c>
      <c r="AC58" s="664">
        <v>41.9</v>
      </c>
      <c r="AD58" s="664">
        <v>45.9</v>
      </c>
      <c r="AE58" s="668">
        <v>49.6</v>
      </c>
      <c r="AF58" s="664">
        <v>53.7</v>
      </c>
      <c r="AG58" s="664">
        <v>57.7</v>
      </c>
      <c r="AH58" s="668">
        <v>61.7</v>
      </c>
      <c r="AI58" s="664">
        <v>45.7</v>
      </c>
      <c r="AJ58" s="664">
        <v>50</v>
      </c>
      <c r="AK58" s="668">
        <v>53.4</v>
      </c>
      <c r="AL58" s="664">
        <v>51.2</v>
      </c>
      <c r="AM58" s="664">
        <v>55.4</v>
      </c>
      <c r="AN58" s="668">
        <v>59</v>
      </c>
      <c r="AO58" s="664">
        <v>48.5</v>
      </c>
      <c r="AP58" s="664">
        <v>51.8</v>
      </c>
      <c r="AQ58" s="668">
        <v>55.9</v>
      </c>
      <c r="AR58" s="664">
        <v>49.7</v>
      </c>
      <c r="AS58" s="664">
        <v>52.2</v>
      </c>
      <c r="AT58" s="668">
        <v>54.9</v>
      </c>
      <c r="AU58" s="664">
        <v>46</v>
      </c>
      <c r="AV58" s="664">
        <v>49.9</v>
      </c>
      <c r="AW58" s="668">
        <v>55.9</v>
      </c>
      <c r="AX58" s="664">
        <v>56.6</v>
      </c>
      <c r="AY58" s="664" t="s">
        <v>860</v>
      </c>
      <c r="AZ58" s="668">
        <v>64.2</v>
      </c>
    </row>
    <row r="59" spans="1:53" ht="15.75" x14ac:dyDescent="0.2">
      <c r="A59" s="7"/>
      <c r="B59" s="7"/>
      <c r="C59" s="7"/>
      <c r="D59" s="7"/>
      <c r="E59" s="7"/>
      <c r="F59" s="7"/>
      <c r="G59" s="7"/>
      <c r="H59" s="7"/>
      <c r="I59" s="7"/>
      <c r="J59" s="7"/>
      <c r="K59" s="7"/>
      <c r="L59" s="7"/>
      <c r="M59" s="7"/>
      <c r="N59" s="7"/>
      <c r="O59" s="7"/>
      <c r="P59" s="7"/>
      <c r="Q59" s="7"/>
      <c r="R59" s="7"/>
      <c r="S59" s="7"/>
      <c r="T59" s="271"/>
      <c r="U59" s="271"/>
      <c r="V59" s="271"/>
      <c r="W59" s="271"/>
      <c r="X59" s="271"/>
      <c r="Y59" s="271"/>
      <c r="Z59" s="268"/>
      <c r="AA59" s="268"/>
      <c r="AB59" s="268"/>
      <c r="AC59" s="268"/>
      <c r="AD59" s="268"/>
      <c r="AE59" s="449"/>
      <c r="AF59" s="268"/>
      <c r="AG59" s="268"/>
      <c r="AH59" s="268"/>
      <c r="AI59" s="268"/>
      <c r="AJ59" s="268"/>
      <c r="AK59" s="268"/>
      <c r="AL59" s="268"/>
      <c r="AM59" s="268"/>
      <c r="AN59" s="268"/>
      <c r="AO59" s="268"/>
      <c r="AP59" s="268"/>
      <c r="AQ59" s="268"/>
      <c r="AR59" s="268"/>
      <c r="AS59" s="268"/>
      <c r="AT59" s="268"/>
      <c r="AU59" s="268"/>
      <c r="AV59" s="268"/>
      <c r="AW59" s="268"/>
      <c r="AX59" s="268"/>
      <c r="AY59" s="268"/>
      <c r="AZ59" s="268"/>
    </row>
    <row r="60" spans="1:53" ht="15.75" x14ac:dyDescent="0.2">
      <c r="B60" s="3" t="s">
        <v>27</v>
      </c>
      <c r="T60" s="221"/>
      <c r="U60" s="221"/>
      <c r="V60" s="221"/>
      <c r="W60" s="221"/>
      <c r="X60" s="221"/>
      <c r="Y60" s="271"/>
      <c r="Z60" s="7"/>
      <c r="AA60" s="7"/>
      <c r="AB60" s="7"/>
      <c r="AC60" s="7"/>
      <c r="AD60" s="7"/>
      <c r="AE60" s="7"/>
      <c r="AF60" s="7"/>
      <c r="AG60" s="7"/>
      <c r="AH60" s="7"/>
      <c r="AI60" s="7"/>
      <c r="AJ60" s="7"/>
      <c r="AK60" s="7"/>
      <c r="AL60" s="7"/>
      <c r="AM60" s="7"/>
      <c r="AN60" s="7"/>
    </row>
    <row r="61" spans="1:53" x14ac:dyDescent="0.2">
      <c r="B61" s="3" t="s">
        <v>28</v>
      </c>
      <c r="T61" s="222"/>
      <c r="U61" s="222"/>
      <c r="V61" s="222"/>
      <c r="W61" s="222"/>
      <c r="X61" s="222"/>
      <c r="Y61" s="222"/>
    </row>
    <row r="62" spans="1:53" x14ac:dyDescent="0.2">
      <c r="B62" s="3" t="s">
        <v>29</v>
      </c>
      <c r="T62" s="222"/>
      <c r="U62" s="222"/>
      <c r="V62" s="222"/>
      <c r="W62" s="222"/>
      <c r="X62" s="222"/>
      <c r="Y62" s="222"/>
    </row>
    <row r="64" spans="1:53" x14ac:dyDescent="0.2">
      <c r="B64" s="15"/>
    </row>
  </sheetData>
  <mergeCells count="36">
    <mergeCell ref="Z28:AB28"/>
    <mergeCell ref="AC28:AE28"/>
    <mergeCell ref="AF28:AH28"/>
    <mergeCell ref="AI28:AK28"/>
    <mergeCell ref="AL28:AN28"/>
    <mergeCell ref="AC55:AE55"/>
    <mergeCell ref="AF55:AH55"/>
    <mergeCell ref="AI55:AK55"/>
    <mergeCell ref="AL55:AN55"/>
    <mergeCell ref="Z55:AB55"/>
    <mergeCell ref="Z9:AB9"/>
    <mergeCell ref="AC9:AE9"/>
    <mergeCell ref="AF9:AH9"/>
    <mergeCell ref="AI9:AK9"/>
    <mergeCell ref="AL9:AN9"/>
    <mergeCell ref="AO55:AQ55"/>
    <mergeCell ref="AR55:AT55"/>
    <mergeCell ref="AU55:AW55"/>
    <mergeCell ref="AX55:AZ55"/>
    <mergeCell ref="AX9:AZ9"/>
    <mergeCell ref="AO9:AQ9"/>
    <mergeCell ref="AR9:AT9"/>
    <mergeCell ref="AU9:AW9"/>
    <mergeCell ref="AO24:AQ24"/>
    <mergeCell ref="AR24:AT24"/>
    <mergeCell ref="AU24:AW24"/>
    <mergeCell ref="AX24:AZ24"/>
    <mergeCell ref="AO28:AQ28"/>
    <mergeCell ref="AR28:AT28"/>
    <mergeCell ref="AU28:AW28"/>
    <mergeCell ref="AX28:AZ28"/>
    <mergeCell ref="Z24:AB24"/>
    <mergeCell ref="AC24:AE24"/>
    <mergeCell ref="AF24:AH24"/>
    <mergeCell ref="AI24:AK24"/>
    <mergeCell ref="AL24:AN24"/>
  </mergeCells>
  <conditionalFormatting sqref="AG32">
    <cfRule type="cellIs" priority="17" stopIfTrue="1" operator="lessThanOrEqual">
      <formula>1</formula>
    </cfRule>
  </conditionalFormatting>
  <conditionalFormatting sqref="AH32">
    <cfRule type="cellIs" priority="16" stopIfTrue="1" operator="lessThanOrEqual">
      <formula>1</formula>
    </cfRule>
  </conditionalFormatting>
  <conditionalFormatting sqref="AS32">
    <cfRule type="cellIs" priority="15" stopIfTrue="1" operator="lessThanOrEqual">
      <formula>1</formula>
    </cfRule>
  </conditionalFormatting>
  <conditionalFormatting sqref="AT32">
    <cfRule type="cellIs" priority="14" stopIfTrue="1" operator="lessThanOrEqual">
      <formula>1</formula>
    </cfRule>
  </conditionalFormatting>
  <conditionalFormatting sqref="AP32">
    <cfRule type="cellIs" priority="13" stopIfTrue="1" operator="lessThanOrEqual">
      <formula>1</formula>
    </cfRule>
  </conditionalFormatting>
  <conditionalFormatting sqref="AQ32">
    <cfRule type="cellIs" priority="12" stopIfTrue="1" operator="lessThanOrEqual">
      <formula>1</formula>
    </cfRule>
  </conditionalFormatting>
  <conditionalFormatting sqref="AW32">
    <cfRule type="cellIs" priority="11" stopIfTrue="1" operator="lessThanOrEqual">
      <formula>1</formula>
    </cfRule>
  </conditionalFormatting>
  <conditionalFormatting sqref="AJ32">
    <cfRule type="cellIs" priority="10" stopIfTrue="1" operator="lessThanOrEqual">
      <formula>1</formula>
    </cfRule>
  </conditionalFormatting>
  <conditionalFormatting sqref="AK32">
    <cfRule type="cellIs" priority="9" stopIfTrue="1" operator="lessThanOrEqual">
      <formula>1</formula>
    </cfRule>
  </conditionalFormatting>
  <conditionalFormatting sqref="AY32">
    <cfRule type="cellIs" priority="8" stopIfTrue="1" operator="lessThanOrEqual">
      <formula>1</formula>
    </cfRule>
  </conditionalFormatting>
  <conditionalFormatting sqref="AZ32">
    <cfRule type="cellIs" priority="7" stopIfTrue="1" operator="lessThanOrEqual">
      <formula>1</formula>
    </cfRule>
  </conditionalFormatting>
  <conditionalFormatting sqref="AA32">
    <cfRule type="cellIs" priority="6" stopIfTrue="1" operator="lessThanOrEqual">
      <formula>1</formula>
    </cfRule>
  </conditionalFormatting>
  <conditionalFormatting sqref="AB32">
    <cfRule type="cellIs" priority="5" stopIfTrue="1" operator="lessThanOrEqual">
      <formula>1</formula>
    </cfRule>
  </conditionalFormatting>
  <conditionalFormatting sqref="AD32">
    <cfRule type="cellIs" priority="4" stopIfTrue="1" operator="lessThanOrEqual">
      <formula>1</formula>
    </cfRule>
  </conditionalFormatting>
  <conditionalFormatting sqref="AE32">
    <cfRule type="cellIs" priority="3" stopIfTrue="1" operator="lessThanOrEqual">
      <formula>1</formula>
    </cfRule>
  </conditionalFormatting>
  <conditionalFormatting sqref="AM32">
    <cfRule type="cellIs" priority="2" stopIfTrue="1" operator="lessThanOrEqual">
      <formula>1</formula>
    </cfRule>
  </conditionalFormatting>
  <conditionalFormatting sqref="AN32">
    <cfRule type="cellIs" priority="1" stopIfTrue="1" operator="lessThanOrEqual">
      <formula>1</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1"/>
  <sheetViews>
    <sheetView zoomScale="80" zoomScaleNormal="80" workbookViewId="0">
      <pane xSplit="2" ySplit="10" topLeftCell="C92" activePane="bottomRight" state="frozen"/>
      <selection pane="topRight" activeCell="C1" sqref="C1"/>
      <selection pane="bottomLeft" activeCell="A11" sqref="A11"/>
      <selection pane="bottomRight" activeCell="E53" sqref="E53"/>
    </sheetView>
  </sheetViews>
  <sheetFormatPr defaultRowHeight="12" outlineLevelCol="1" x14ac:dyDescent="0.2"/>
  <cols>
    <col min="1" max="1" width="3" style="3" bestFit="1" customWidth="1"/>
    <col min="2" max="2" width="29" style="3" customWidth="1"/>
    <col min="3" max="3" width="29.7109375" style="3" customWidth="1"/>
    <col min="4" max="4" width="12.42578125" style="135" customWidth="1" outlineLevel="1"/>
    <col min="5" max="5" width="14" style="135" customWidth="1" outlineLevel="1"/>
    <col min="6" max="6" width="11.140625" style="135" customWidth="1" outlineLevel="1"/>
    <col min="7" max="7" width="10.7109375" style="135" customWidth="1" outlineLevel="1"/>
    <col min="8" max="8" width="26.85546875" style="135" customWidth="1"/>
    <col min="9" max="9" width="33" style="135" customWidth="1" outlineLevel="1"/>
    <col min="10" max="10" width="18.5703125" style="135" customWidth="1" outlineLevel="1"/>
    <col min="11" max="11" width="13.5703125" style="135" customWidth="1"/>
    <col min="12" max="12" width="10.85546875" style="135" customWidth="1" outlineLevel="1"/>
    <col min="13" max="13" width="13.28515625" style="135" customWidth="1" outlineLevel="1"/>
    <col min="14" max="14" width="10.7109375" style="135" customWidth="1" outlineLevel="1"/>
    <col min="15" max="15" width="13.7109375" style="135" customWidth="1" outlineLevel="1"/>
    <col min="16" max="16" width="27.140625" style="135" customWidth="1"/>
    <col min="17" max="17" width="13.28515625" style="3" customWidth="1"/>
    <col min="18" max="18" width="67.85546875" style="3" customWidth="1"/>
    <col min="19" max="19" width="11" style="3" customWidth="1" outlineLevel="1"/>
    <col min="20" max="25" width="9.7109375" style="3" customWidth="1"/>
    <col min="26" max="27" width="13.140625" style="3" customWidth="1"/>
    <col min="28" max="28" width="12.42578125" style="3" customWidth="1"/>
    <col min="29" max="29" width="11.5703125" style="3" customWidth="1"/>
    <col min="30" max="30" width="13" style="3" customWidth="1"/>
    <col min="31" max="32" width="13.5703125" style="3" customWidth="1"/>
    <col min="33" max="33" width="11.42578125" style="3" customWidth="1"/>
    <col min="34" max="34" width="13.42578125" style="3" customWidth="1"/>
    <col min="35" max="35" width="13.140625" style="3" customWidth="1"/>
    <col min="36" max="36" width="13.5703125" style="3" customWidth="1"/>
    <col min="37" max="37" width="14" style="3" customWidth="1"/>
    <col min="38" max="38" width="13.85546875" style="3" customWidth="1"/>
    <col min="39" max="39" width="13.42578125" style="3" customWidth="1"/>
    <col min="40" max="40" width="14.28515625" style="3" customWidth="1"/>
    <col min="41" max="41" width="14" style="3" customWidth="1"/>
    <col min="42" max="42" width="13.85546875" style="3" customWidth="1"/>
    <col min="43" max="43" width="14" style="3" customWidth="1"/>
    <col min="44" max="49" width="9.140625" style="3" customWidth="1"/>
    <col min="50" max="16384" width="9.140625" style="3"/>
  </cols>
  <sheetData>
    <row r="1" spans="1:49" s="1" customFormat="1" ht="8.25" customHeight="1" x14ac:dyDescent="0.25">
      <c r="A1" s="2"/>
      <c r="B1" s="2"/>
      <c r="C1" s="2"/>
      <c r="D1" s="134"/>
      <c r="E1" s="134"/>
      <c r="F1" s="134"/>
      <c r="G1" s="134"/>
      <c r="H1" s="134"/>
      <c r="I1" s="134"/>
      <c r="J1" s="134"/>
      <c r="K1" s="134"/>
      <c r="L1" s="134"/>
      <c r="M1" s="134"/>
      <c r="N1" s="134"/>
      <c r="O1" s="134"/>
      <c r="P1" s="13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1" customFormat="1" ht="8.25" customHeight="1" x14ac:dyDescent="0.25">
      <c r="A2" s="2"/>
      <c r="B2" s="2"/>
      <c r="C2" s="2"/>
      <c r="D2" s="134"/>
      <c r="E2" s="134"/>
      <c r="F2" s="134"/>
      <c r="G2" s="134"/>
      <c r="H2" s="134"/>
      <c r="I2" s="134"/>
      <c r="J2" s="134"/>
      <c r="K2" s="134"/>
      <c r="L2" s="134"/>
      <c r="M2" s="134"/>
      <c r="N2" s="134"/>
      <c r="O2" s="134"/>
      <c r="P2" s="13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s="1" customFormat="1" ht="8.25" customHeight="1" x14ac:dyDescent="0.25">
      <c r="A3" s="2"/>
      <c r="B3" s="2"/>
      <c r="C3" s="2"/>
      <c r="D3" s="134"/>
      <c r="E3" s="134"/>
      <c r="F3" s="134"/>
      <c r="G3" s="134"/>
      <c r="H3" s="134"/>
      <c r="I3" s="134"/>
      <c r="J3" s="134"/>
      <c r="K3" s="134"/>
      <c r="L3" s="134"/>
      <c r="M3" s="134"/>
      <c r="N3" s="134"/>
      <c r="O3" s="134"/>
      <c r="P3" s="13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s="1" customFormat="1" ht="18.75" x14ac:dyDescent="0.3">
      <c r="A4" s="317"/>
      <c r="B4" s="318" t="s">
        <v>0</v>
      </c>
      <c r="C4" s="117"/>
      <c r="D4" s="117"/>
      <c r="E4" s="117"/>
      <c r="F4" s="117"/>
      <c r="G4" s="117"/>
      <c r="H4" s="117"/>
      <c r="I4" s="117"/>
      <c r="J4" s="117"/>
      <c r="K4" s="117"/>
      <c r="L4" s="117"/>
      <c r="M4" s="117"/>
      <c r="N4" s="117"/>
      <c r="O4" s="117"/>
      <c r="P4" s="117"/>
      <c r="Q4" s="117"/>
      <c r="R4" s="117"/>
      <c r="S4" s="117"/>
      <c r="T4" s="134"/>
      <c r="U4" s="134"/>
      <c r="V4" s="134"/>
      <c r="W4" s="134"/>
      <c r="X4" s="134"/>
      <c r="Y4" s="134"/>
      <c r="Z4" s="134"/>
      <c r="AA4" s="134"/>
      <c r="AB4" s="266"/>
      <c r="AC4" s="134"/>
      <c r="AD4" s="266"/>
      <c r="AE4" s="266"/>
      <c r="AF4" s="266"/>
      <c r="AG4" s="266"/>
      <c r="AH4" s="266"/>
      <c r="AI4" s="266"/>
      <c r="AJ4" s="266"/>
      <c r="AK4" s="266"/>
      <c r="AL4" s="266"/>
      <c r="AM4" s="266"/>
      <c r="AN4" s="134"/>
      <c r="AO4" s="134"/>
      <c r="AP4" s="134"/>
      <c r="AQ4" s="134"/>
      <c r="AR4" s="134"/>
      <c r="AS4" s="134"/>
      <c r="AT4" s="134"/>
      <c r="AU4" s="134"/>
      <c r="AV4" s="134"/>
      <c r="AW4" s="134"/>
    </row>
    <row r="5" spans="1:49" s="1" customFormat="1" ht="15" customHeight="1" x14ac:dyDescent="0.25">
      <c r="A5" s="317"/>
      <c r="B5" s="319" t="s">
        <v>64</v>
      </c>
      <c r="C5" s="117"/>
      <c r="D5" s="117"/>
      <c r="E5" s="117"/>
      <c r="F5" s="117"/>
      <c r="G5" s="117"/>
      <c r="H5" s="117"/>
      <c r="I5" s="117"/>
      <c r="J5" s="117"/>
      <c r="K5" s="117"/>
      <c r="L5" s="117"/>
      <c r="M5" s="117"/>
      <c r="N5" s="117"/>
      <c r="O5" s="117"/>
      <c r="P5" s="117"/>
      <c r="Q5" s="117"/>
      <c r="R5" s="117"/>
      <c r="S5" s="117"/>
      <c r="T5" s="134"/>
      <c r="U5" s="134"/>
      <c r="V5" s="134"/>
      <c r="W5" s="134"/>
      <c r="X5" s="134"/>
      <c r="Y5" s="134"/>
      <c r="Z5" s="134"/>
      <c r="AA5" s="134"/>
      <c r="AB5" s="134"/>
      <c r="AC5" s="134"/>
      <c r="AD5" s="267"/>
      <c r="AE5" s="267"/>
      <c r="AF5" s="267"/>
      <c r="AG5" s="267"/>
      <c r="AH5" s="267"/>
      <c r="AI5" s="267"/>
      <c r="AJ5" s="267"/>
      <c r="AK5" s="267"/>
      <c r="AL5" s="267"/>
      <c r="AM5" s="267"/>
      <c r="AN5" s="134"/>
      <c r="AO5" s="134"/>
      <c r="AP5" s="134"/>
      <c r="AQ5" s="134"/>
      <c r="AR5" s="134"/>
      <c r="AS5" s="134"/>
      <c r="AT5" s="134"/>
      <c r="AU5" s="134"/>
      <c r="AV5" s="134"/>
      <c r="AW5" s="134"/>
    </row>
    <row r="6" spans="1:49" s="1" customFormat="1" ht="8.25" customHeight="1" x14ac:dyDescent="0.25">
      <c r="A6" s="2"/>
      <c r="B6" s="2"/>
      <c r="C6" s="2"/>
      <c r="D6" s="134"/>
      <c r="E6" s="134"/>
      <c r="F6" s="134"/>
      <c r="G6" s="134"/>
      <c r="H6" s="134"/>
      <c r="I6" s="134"/>
      <c r="J6" s="134"/>
      <c r="K6" s="134"/>
      <c r="L6" s="134"/>
      <c r="M6" s="134"/>
      <c r="N6" s="134"/>
      <c r="O6" s="134"/>
      <c r="P6" s="13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s="1" customFormat="1" ht="8.25" customHeight="1" x14ac:dyDescent="0.25">
      <c r="A7" s="2"/>
      <c r="B7" s="2"/>
      <c r="C7" s="2"/>
      <c r="D7" s="134"/>
      <c r="E7" s="134"/>
      <c r="F7" s="134"/>
      <c r="G7" s="134"/>
      <c r="H7" s="134"/>
      <c r="I7" s="134"/>
      <c r="J7" s="134"/>
      <c r="K7" s="134"/>
      <c r="L7" s="134"/>
      <c r="M7" s="134"/>
      <c r="N7" s="134"/>
      <c r="O7" s="134"/>
      <c r="P7" s="134"/>
      <c r="Q7" s="2"/>
      <c r="R7" s="2"/>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row>
    <row r="8" spans="1:49" s="194" customFormat="1" ht="15" customHeight="1" x14ac:dyDescent="0.25">
      <c r="A8" s="192"/>
      <c r="B8" s="192"/>
      <c r="C8" s="192"/>
      <c r="D8" s="193"/>
      <c r="E8" s="193"/>
      <c r="F8" s="193"/>
      <c r="G8" s="193"/>
      <c r="H8" s="193"/>
      <c r="I8" s="193"/>
      <c r="J8" s="193"/>
      <c r="K8" s="193"/>
      <c r="L8" s="193"/>
      <c r="M8" s="193"/>
      <c r="N8" s="193"/>
      <c r="O8" s="193"/>
      <c r="P8" s="193"/>
      <c r="Q8" s="192"/>
      <c r="R8" s="192"/>
      <c r="S8" s="83" t="s">
        <v>793</v>
      </c>
      <c r="T8" s="173" t="s">
        <v>783</v>
      </c>
      <c r="U8" s="174"/>
      <c r="V8" s="174"/>
      <c r="W8" s="174"/>
      <c r="X8" s="174"/>
      <c r="Y8" s="175"/>
      <c r="Z8" s="82"/>
      <c r="AA8" s="82"/>
      <c r="AB8" s="82"/>
      <c r="AC8" s="82"/>
      <c r="AD8" s="82"/>
      <c r="AE8" s="82"/>
      <c r="AF8" s="82"/>
      <c r="AG8" s="82"/>
      <c r="AH8" s="82"/>
      <c r="AI8" s="82"/>
      <c r="AJ8" s="82"/>
      <c r="AK8" s="82"/>
      <c r="AL8" s="82"/>
      <c r="AM8" s="82"/>
      <c r="AN8" s="82"/>
      <c r="AO8" s="82"/>
      <c r="AP8" s="82"/>
      <c r="AQ8" s="82"/>
      <c r="AR8" s="82"/>
      <c r="AS8" s="82"/>
      <c r="AT8" s="82"/>
      <c r="AU8" s="82"/>
      <c r="AV8" s="82"/>
      <c r="AW8" s="82"/>
    </row>
    <row r="9" spans="1:49" ht="12" customHeight="1" x14ac:dyDescent="0.2">
      <c r="A9" s="119"/>
      <c r="B9" s="119"/>
      <c r="C9" s="120"/>
      <c r="D9" s="119"/>
      <c r="E9" s="119"/>
      <c r="F9" s="119"/>
      <c r="G9" s="119"/>
      <c r="H9" s="119"/>
      <c r="I9" s="119"/>
      <c r="J9" s="119"/>
      <c r="K9" s="119"/>
      <c r="L9" s="119"/>
      <c r="M9" s="119"/>
      <c r="N9" s="119"/>
      <c r="O9" s="119"/>
      <c r="P9" s="119"/>
      <c r="Q9" s="120"/>
      <c r="R9" s="120"/>
      <c r="S9" s="75"/>
      <c r="T9" s="176" t="s">
        <v>784</v>
      </c>
      <c r="U9" s="172"/>
      <c r="V9" s="172"/>
      <c r="W9" s="179" t="s">
        <v>785</v>
      </c>
      <c r="X9" s="172"/>
      <c r="Y9" s="177"/>
      <c r="Z9" s="201"/>
      <c r="AA9" s="136"/>
      <c r="AB9" s="136"/>
      <c r="AC9" s="136"/>
      <c r="AD9" s="136"/>
      <c r="AE9" s="136"/>
      <c r="AF9" s="136"/>
      <c r="AG9" s="136"/>
      <c r="AH9" s="136"/>
      <c r="AI9" s="136"/>
      <c r="AJ9" s="136"/>
      <c r="AK9" s="136"/>
      <c r="AL9" s="136"/>
      <c r="AM9" s="136"/>
      <c r="AN9" s="136"/>
      <c r="AO9" s="136"/>
      <c r="AP9" s="136"/>
      <c r="AQ9" s="136"/>
      <c r="AR9" s="12"/>
      <c r="AS9" s="12"/>
      <c r="AT9" s="12"/>
      <c r="AU9" s="12"/>
      <c r="AV9" s="12"/>
      <c r="AW9" s="202"/>
    </row>
    <row r="10" spans="1:49" s="563" customFormat="1" ht="24" x14ac:dyDescent="0.2">
      <c r="A10" s="603"/>
      <c r="B10" s="167" t="s">
        <v>261</v>
      </c>
      <c r="C10" s="167" t="s">
        <v>262</v>
      </c>
      <c r="D10" s="167" t="s">
        <v>263</v>
      </c>
      <c r="E10" s="167" t="s">
        <v>264</v>
      </c>
      <c r="F10" s="167" t="s">
        <v>265</v>
      </c>
      <c r="G10" s="167" t="s">
        <v>443</v>
      </c>
      <c r="H10" s="167" t="s">
        <v>267</v>
      </c>
      <c r="I10" s="167" t="s">
        <v>268</v>
      </c>
      <c r="J10" s="167" t="s">
        <v>269</v>
      </c>
      <c r="K10" s="167" t="s">
        <v>270</v>
      </c>
      <c r="L10" s="167" t="s">
        <v>271</v>
      </c>
      <c r="M10" s="167" t="s">
        <v>444</v>
      </c>
      <c r="N10" s="167" t="s">
        <v>341</v>
      </c>
      <c r="O10" s="167" t="s">
        <v>272</v>
      </c>
      <c r="P10" s="167" t="s">
        <v>273</v>
      </c>
      <c r="Q10" s="167" t="s">
        <v>274</v>
      </c>
      <c r="R10" s="604" t="s">
        <v>275</v>
      </c>
      <c r="S10" s="605"/>
      <c r="T10" s="606" t="s">
        <v>795</v>
      </c>
      <c r="U10" s="167" t="s">
        <v>789</v>
      </c>
      <c r="V10" s="167" t="s">
        <v>790</v>
      </c>
      <c r="W10" s="607" t="s">
        <v>791</v>
      </c>
      <c r="X10" s="167" t="s">
        <v>789</v>
      </c>
      <c r="Y10" s="608" t="s">
        <v>786</v>
      </c>
      <c r="Z10" s="609"/>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610"/>
    </row>
    <row r="11" spans="1:49" ht="36" x14ac:dyDescent="0.2">
      <c r="A11" s="123">
        <v>1</v>
      </c>
      <c r="B11" s="124" t="s">
        <v>30</v>
      </c>
      <c r="C11" s="125" t="s">
        <v>345</v>
      </c>
      <c r="D11" s="125" t="s">
        <v>346</v>
      </c>
      <c r="E11" s="125" t="s">
        <v>347</v>
      </c>
      <c r="F11" s="125"/>
      <c r="G11" s="125" t="s">
        <v>279</v>
      </c>
      <c r="H11" s="125" t="s">
        <v>861</v>
      </c>
      <c r="I11" s="125" t="s">
        <v>349</v>
      </c>
      <c r="J11" s="125" t="s">
        <v>350</v>
      </c>
      <c r="K11" s="125" t="s">
        <v>350</v>
      </c>
      <c r="L11" s="125"/>
      <c r="M11" s="125"/>
      <c r="N11" s="125" t="s">
        <v>286</v>
      </c>
      <c r="O11" s="125" t="s">
        <v>350</v>
      </c>
      <c r="P11" s="125" t="s">
        <v>351</v>
      </c>
      <c r="Q11" s="125" t="s">
        <v>289</v>
      </c>
      <c r="R11" s="125" t="s">
        <v>921</v>
      </c>
      <c r="S11" s="189" t="s">
        <v>794</v>
      </c>
      <c r="T11" s="213" t="s">
        <v>794</v>
      </c>
      <c r="U11" s="189"/>
      <c r="V11" s="189"/>
      <c r="W11" s="214"/>
      <c r="X11" s="189"/>
      <c r="Y11" s="215"/>
      <c r="Z11" s="693">
        <v>1996</v>
      </c>
      <c r="AA11" s="694">
        <v>1997</v>
      </c>
      <c r="AB11" s="694">
        <v>1998</v>
      </c>
      <c r="AC11" s="694">
        <v>1999</v>
      </c>
      <c r="AD11" s="694">
        <v>2000</v>
      </c>
      <c r="AE11" s="694">
        <v>2001</v>
      </c>
      <c r="AF11" s="694">
        <v>2002</v>
      </c>
      <c r="AG11" s="694">
        <v>2003</v>
      </c>
      <c r="AH11" s="694">
        <v>2004</v>
      </c>
      <c r="AI11" s="694">
        <v>2005</v>
      </c>
      <c r="AJ11" s="694">
        <v>2006</v>
      </c>
      <c r="AK11" s="694">
        <v>2007</v>
      </c>
      <c r="AL11" s="694">
        <v>2008</v>
      </c>
      <c r="AM11" s="694">
        <v>2009</v>
      </c>
      <c r="AN11" s="694">
        <v>2010</v>
      </c>
      <c r="AO11" s="694">
        <v>2011</v>
      </c>
      <c r="AP11" s="694">
        <v>2012</v>
      </c>
      <c r="AQ11" s="694">
        <v>2013</v>
      </c>
      <c r="AR11" s="7"/>
      <c r="AS11" s="7"/>
      <c r="AT11" s="7"/>
      <c r="AU11" s="7"/>
      <c r="AV11" s="7"/>
      <c r="AW11" s="31"/>
    </row>
    <row r="12" spans="1:49" ht="15.75" customHeight="1" x14ac:dyDescent="0.2">
      <c r="A12" s="123"/>
      <c r="B12" s="269" t="s">
        <v>3</v>
      </c>
      <c r="C12" s="125"/>
      <c r="D12" s="125"/>
      <c r="E12" s="125"/>
      <c r="F12" s="125"/>
      <c r="G12" s="125"/>
      <c r="H12" s="125"/>
      <c r="I12" s="125"/>
      <c r="J12" s="125"/>
      <c r="K12" s="125"/>
      <c r="L12" s="125"/>
      <c r="M12" s="125"/>
      <c r="N12" s="125"/>
      <c r="O12" s="125"/>
      <c r="P12" s="125"/>
      <c r="Q12" s="125"/>
      <c r="R12" s="125"/>
      <c r="S12" s="189"/>
      <c r="T12" s="213"/>
      <c r="U12" s="189"/>
      <c r="V12" s="189"/>
      <c r="W12" s="214"/>
      <c r="X12" s="189"/>
      <c r="Y12" s="215"/>
      <c r="Z12" s="203">
        <v>85440151.578319818</v>
      </c>
      <c r="AA12" s="204">
        <v>98175468.468774319</v>
      </c>
      <c r="AB12" s="204">
        <v>108231969.62174997</v>
      </c>
      <c r="AC12" s="204">
        <v>121585889.49895053</v>
      </c>
      <c r="AD12" s="204">
        <v>136031757.18223596</v>
      </c>
      <c r="AE12" s="204">
        <v>147337837.85904148</v>
      </c>
      <c r="AF12" s="204">
        <v>171380916.88873109</v>
      </c>
      <c r="AG12" s="204">
        <v>187702641.14006105</v>
      </c>
      <c r="AH12" s="204">
        <v>206833848.59816325</v>
      </c>
      <c r="AI12" s="204">
        <v>230246026.01263013</v>
      </c>
      <c r="AJ12" s="204">
        <v>254882750.88228887</v>
      </c>
      <c r="AK12" s="204">
        <v>291790638.17963815</v>
      </c>
      <c r="AL12" s="204">
        <v>328319856.15612739</v>
      </c>
      <c r="AM12" s="204">
        <v>352996923.52679688</v>
      </c>
      <c r="AN12" s="204">
        <v>391276225.34183657</v>
      </c>
      <c r="AO12" s="204">
        <v>428959022.94040209</v>
      </c>
      <c r="AP12" s="204">
        <v>467748735.96276009</v>
      </c>
      <c r="AQ12" s="204">
        <v>515724687.68990988</v>
      </c>
      <c r="AR12" s="7"/>
      <c r="AS12" s="7"/>
      <c r="AT12" s="7"/>
      <c r="AU12" s="7"/>
      <c r="AV12" s="7"/>
      <c r="AW12" s="31"/>
    </row>
    <row r="13" spans="1:49" s="16" customFormat="1" ht="15.75" customHeight="1" x14ac:dyDescent="0.2">
      <c r="A13" s="10"/>
      <c r="B13" s="470" t="s">
        <v>4</v>
      </c>
      <c r="C13" s="132"/>
      <c r="D13" s="132"/>
      <c r="E13" s="132"/>
      <c r="F13" s="132"/>
      <c r="G13" s="132"/>
      <c r="H13" s="132"/>
      <c r="I13" s="132"/>
      <c r="J13" s="132"/>
      <c r="K13" s="132"/>
      <c r="L13" s="132"/>
      <c r="M13" s="132"/>
      <c r="N13" s="132"/>
      <c r="O13" s="132"/>
      <c r="P13" s="132"/>
      <c r="Q13" s="132"/>
      <c r="R13" s="132"/>
      <c r="S13" s="189"/>
      <c r="T13" s="213"/>
      <c r="U13" s="189"/>
      <c r="V13" s="189"/>
      <c r="W13" s="214"/>
      <c r="X13" s="189"/>
      <c r="Y13" s="215"/>
      <c r="Z13" s="746">
        <v>47387560.602614023</v>
      </c>
      <c r="AA13" s="371">
        <v>54115705.177484728</v>
      </c>
      <c r="AB13" s="371">
        <v>59466236.31174998</v>
      </c>
      <c r="AC13" s="371">
        <v>65891498.961907901</v>
      </c>
      <c r="AD13" s="371">
        <v>76782608.712568387</v>
      </c>
      <c r="AE13" s="371">
        <v>83495237.846894577</v>
      </c>
      <c r="AF13" s="371">
        <v>94189423.985340431</v>
      </c>
      <c r="AG13" s="371">
        <v>103841586.85304013</v>
      </c>
      <c r="AH13" s="371">
        <v>115011185.26071876</v>
      </c>
      <c r="AI13" s="371">
        <v>131185453.26327406</v>
      </c>
      <c r="AJ13" s="371">
        <v>145870659.41273889</v>
      </c>
      <c r="AK13" s="371">
        <v>167162017.04768246</v>
      </c>
      <c r="AL13" s="371">
        <v>186965720.81785962</v>
      </c>
      <c r="AM13" s="371">
        <v>204973585.62590629</v>
      </c>
      <c r="AN13" s="371">
        <v>229317371.50722378</v>
      </c>
      <c r="AO13" s="371">
        <v>254187461.61917308</v>
      </c>
      <c r="AP13" s="371">
        <v>274648744.03279769</v>
      </c>
      <c r="AQ13" s="371">
        <v>300575344.20593768</v>
      </c>
      <c r="AR13" s="4"/>
      <c r="AS13" s="4"/>
      <c r="AT13" s="4"/>
      <c r="AU13" s="4"/>
      <c r="AV13" s="4"/>
      <c r="AW13" s="477"/>
    </row>
    <row r="14" spans="1:49" ht="15.75" customHeight="1" x14ac:dyDescent="0.2">
      <c r="A14" s="123"/>
      <c r="B14" s="269" t="s">
        <v>5</v>
      </c>
      <c r="C14" s="125"/>
      <c r="D14" s="125"/>
      <c r="E14" s="125"/>
      <c r="F14" s="125"/>
      <c r="G14" s="125"/>
      <c r="H14" s="125"/>
      <c r="I14" s="125"/>
      <c r="J14" s="125"/>
      <c r="K14" s="125"/>
      <c r="L14" s="125"/>
      <c r="M14" s="125"/>
      <c r="N14" s="125"/>
      <c r="O14" s="125"/>
      <c r="P14" s="125"/>
      <c r="Q14" s="125"/>
      <c r="R14" s="125"/>
      <c r="S14" s="189"/>
      <c r="T14" s="213"/>
      <c r="U14" s="189"/>
      <c r="V14" s="189"/>
      <c r="W14" s="214"/>
      <c r="X14" s="189"/>
      <c r="Y14" s="215"/>
      <c r="Z14" s="203">
        <v>59507879.467487395</v>
      </c>
      <c r="AA14" s="204">
        <v>67114808.764955267</v>
      </c>
      <c r="AB14" s="204">
        <v>71443981.752589554</v>
      </c>
      <c r="AC14" s="204">
        <v>80111609.133700132</v>
      </c>
      <c r="AD14" s="204">
        <v>89606035.301472113</v>
      </c>
      <c r="AE14" s="204">
        <v>99083257.452734441</v>
      </c>
      <c r="AF14" s="204">
        <v>111107719.74910067</v>
      </c>
      <c r="AG14" s="204">
        <v>123824944.99708375</v>
      </c>
      <c r="AH14" s="204">
        <v>140363480.65395662</v>
      </c>
      <c r="AI14" s="204">
        <v>152692173.7035507</v>
      </c>
      <c r="AJ14" s="204">
        <v>169686701.07174248</v>
      </c>
      <c r="AK14" s="204">
        <v>192267242.87729207</v>
      </c>
      <c r="AL14" s="204">
        <v>213305977.60672408</v>
      </c>
      <c r="AM14" s="204">
        <v>227324866.98495188</v>
      </c>
      <c r="AN14" s="204">
        <v>256443655.07247522</v>
      </c>
      <c r="AO14" s="204">
        <v>277516107.18153208</v>
      </c>
      <c r="AP14" s="204">
        <v>295055690.43061101</v>
      </c>
      <c r="AQ14" s="204">
        <v>319239490.06004471</v>
      </c>
      <c r="AR14" s="7"/>
      <c r="AS14" s="7"/>
      <c r="AT14" s="7"/>
      <c r="AU14" s="7"/>
      <c r="AV14" s="7"/>
      <c r="AW14" s="31"/>
    </row>
    <row r="15" spans="1:49" ht="15.75" customHeight="1" x14ac:dyDescent="0.2">
      <c r="A15" s="123"/>
      <c r="B15" s="269" t="s">
        <v>251</v>
      </c>
      <c r="C15" s="125"/>
      <c r="D15" s="125"/>
      <c r="E15" s="125"/>
      <c r="F15" s="125"/>
      <c r="G15" s="125"/>
      <c r="H15" s="125"/>
      <c r="I15" s="125"/>
      <c r="J15" s="125"/>
      <c r="K15" s="125"/>
      <c r="L15" s="125"/>
      <c r="M15" s="125"/>
      <c r="N15" s="125"/>
      <c r="O15" s="125"/>
      <c r="P15" s="125"/>
      <c r="Q15" s="125"/>
      <c r="R15" s="125"/>
      <c r="S15" s="189"/>
      <c r="T15" s="213"/>
      <c r="U15" s="189"/>
      <c r="V15" s="189"/>
      <c r="W15" s="214"/>
      <c r="X15" s="189"/>
      <c r="Y15" s="215"/>
      <c r="Z15" s="203">
        <v>59111583.659320287</v>
      </c>
      <c r="AA15" s="204">
        <v>65052918.554321855</v>
      </c>
      <c r="AB15" s="204">
        <v>69696493.054111987</v>
      </c>
      <c r="AC15" s="204">
        <v>75393303.275628164</v>
      </c>
      <c r="AD15" s="204">
        <v>86277993.921269298</v>
      </c>
      <c r="AE15" s="204">
        <v>97122698.316588461</v>
      </c>
      <c r="AF15" s="204">
        <v>110176672.13925056</v>
      </c>
      <c r="AG15" s="204">
        <v>121888657.91747038</v>
      </c>
      <c r="AH15" s="204">
        <v>134598265.23129004</v>
      </c>
      <c r="AI15" s="204">
        <v>147159614.66750249</v>
      </c>
      <c r="AJ15" s="204">
        <v>163737825.15149543</v>
      </c>
      <c r="AK15" s="204">
        <v>185053126.88570869</v>
      </c>
      <c r="AL15" s="204">
        <v>207309154.78764763</v>
      </c>
      <c r="AM15" s="204">
        <v>223359560.94258496</v>
      </c>
      <c r="AN15" s="204">
        <v>247440409.58072609</v>
      </c>
      <c r="AO15" s="204">
        <v>267980963.62729749</v>
      </c>
      <c r="AP15" s="204">
        <v>290789994.59961653</v>
      </c>
      <c r="AQ15" s="204">
        <v>316070030.34396392</v>
      </c>
      <c r="AR15" s="7"/>
      <c r="AS15" s="7"/>
      <c r="AT15" s="7"/>
      <c r="AU15" s="7"/>
      <c r="AV15" s="7"/>
      <c r="AW15" s="31"/>
    </row>
    <row r="16" spans="1:49" ht="15.75" customHeight="1" x14ac:dyDescent="0.2">
      <c r="A16" s="123"/>
      <c r="B16" s="269" t="s">
        <v>252</v>
      </c>
      <c r="C16" s="125"/>
      <c r="D16" s="125"/>
      <c r="E16" s="125"/>
      <c r="F16" s="125"/>
      <c r="G16" s="125"/>
      <c r="H16" s="125"/>
      <c r="I16" s="125"/>
      <c r="J16" s="125"/>
      <c r="K16" s="125"/>
      <c r="L16" s="125"/>
      <c r="M16" s="125"/>
      <c r="N16" s="125"/>
      <c r="O16" s="125"/>
      <c r="P16" s="125"/>
      <c r="Q16" s="125"/>
      <c r="R16" s="125"/>
      <c r="S16" s="190"/>
      <c r="T16" s="216"/>
      <c r="U16" s="190"/>
      <c r="V16" s="190"/>
      <c r="W16" s="217"/>
      <c r="X16" s="190"/>
      <c r="Y16" s="218"/>
      <c r="Z16" s="203">
        <v>39017380.571504213</v>
      </c>
      <c r="AA16" s="204">
        <v>41583661.963357762</v>
      </c>
      <c r="AB16" s="204">
        <v>42607303.87956167</v>
      </c>
      <c r="AC16" s="204">
        <v>44148445.013994783</v>
      </c>
      <c r="AD16" s="204">
        <v>52865349.482694671</v>
      </c>
      <c r="AE16" s="204">
        <v>57283175.004288368</v>
      </c>
      <c r="AF16" s="204">
        <v>66517408.042898253</v>
      </c>
      <c r="AG16" s="204">
        <v>73288245.867646098</v>
      </c>
      <c r="AH16" s="204">
        <v>80970117.734768718</v>
      </c>
      <c r="AI16" s="204">
        <v>89364877.866174221</v>
      </c>
      <c r="AJ16" s="204">
        <v>97554136.907414943</v>
      </c>
      <c r="AK16" s="204">
        <v>111181941.71970242</v>
      </c>
      <c r="AL16" s="204">
        <v>126339206.45647514</v>
      </c>
      <c r="AM16" s="204">
        <v>136152583.65188405</v>
      </c>
      <c r="AN16" s="204">
        <v>149783075.84788322</v>
      </c>
      <c r="AO16" s="204">
        <v>162026057.7221553</v>
      </c>
      <c r="AP16" s="204">
        <v>173331044.46917337</v>
      </c>
      <c r="AQ16" s="204">
        <v>187474334.13607222</v>
      </c>
      <c r="AR16" s="7"/>
      <c r="AS16" s="7"/>
      <c r="AT16" s="7"/>
      <c r="AU16" s="7"/>
      <c r="AV16" s="7"/>
      <c r="AW16" s="31"/>
    </row>
    <row r="17" spans="1:49" s="16" customFormat="1" ht="15.75" customHeight="1" x14ac:dyDescent="0.2">
      <c r="A17" s="10"/>
      <c r="B17" s="470" t="s">
        <v>6</v>
      </c>
      <c r="C17" s="132"/>
      <c r="D17" s="132"/>
      <c r="E17" s="132"/>
      <c r="F17" s="132"/>
      <c r="G17" s="132"/>
      <c r="H17" s="132"/>
      <c r="I17" s="132"/>
      <c r="J17" s="132"/>
      <c r="K17" s="132"/>
      <c r="L17" s="132"/>
      <c r="M17" s="132"/>
      <c r="N17" s="132"/>
      <c r="O17" s="132"/>
      <c r="P17" s="132"/>
      <c r="Q17" s="132"/>
      <c r="R17" s="132"/>
      <c r="S17" s="190"/>
      <c r="T17" s="216"/>
      <c r="U17" s="190"/>
      <c r="V17" s="190"/>
      <c r="W17" s="217"/>
      <c r="X17" s="190"/>
      <c r="Y17" s="218"/>
      <c r="Z17" s="746">
        <v>18638853.511254795</v>
      </c>
      <c r="AA17" s="371">
        <v>20384046.279752403</v>
      </c>
      <c r="AB17" s="371">
        <v>21841793.287162933</v>
      </c>
      <c r="AC17" s="371">
        <v>23730913.476484507</v>
      </c>
      <c r="AD17" s="371">
        <v>28253243.728922967</v>
      </c>
      <c r="AE17" s="371">
        <v>31866586.567991823</v>
      </c>
      <c r="AF17" s="371">
        <v>35577511.965185799</v>
      </c>
      <c r="AG17" s="371">
        <v>39624724.472415149</v>
      </c>
      <c r="AH17" s="371">
        <v>43292557.374437049</v>
      </c>
      <c r="AI17" s="371">
        <v>46717077.828631662</v>
      </c>
      <c r="AJ17" s="371">
        <v>50724908.277063169</v>
      </c>
      <c r="AK17" s="371">
        <v>56196727.220742702</v>
      </c>
      <c r="AL17" s="371">
        <v>63769102.859669894</v>
      </c>
      <c r="AM17" s="371">
        <v>68293549.672175065</v>
      </c>
      <c r="AN17" s="371">
        <v>75314013.17233409</v>
      </c>
      <c r="AO17" s="371">
        <v>78334421.932726428</v>
      </c>
      <c r="AP17" s="371">
        <v>83560810.393377513</v>
      </c>
      <c r="AQ17" s="371">
        <v>89096842.097290367</v>
      </c>
      <c r="AR17" s="4"/>
      <c r="AS17" s="4"/>
      <c r="AT17" s="4"/>
      <c r="AU17" s="4"/>
      <c r="AV17" s="4"/>
      <c r="AW17" s="477"/>
    </row>
    <row r="18" spans="1:49" s="16" customFormat="1" ht="15.75" customHeight="1" x14ac:dyDescent="0.2">
      <c r="A18" s="10"/>
      <c r="B18" s="375" t="s">
        <v>8</v>
      </c>
      <c r="C18" s="141"/>
      <c r="D18" s="132"/>
      <c r="E18" s="132"/>
      <c r="F18" s="132"/>
      <c r="G18" s="132"/>
      <c r="H18" s="132"/>
      <c r="I18" s="132"/>
      <c r="J18" s="132"/>
      <c r="K18" s="132"/>
      <c r="L18" s="132"/>
      <c r="M18" s="132"/>
      <c r="N18" s="132"/>
      <c r="O18" s="132"/>
      <c r="P18" s="132"/>
      <c r="Q18" s="132"/>
      <c r="R18" s="132"/>
      <c r="S18" s="190"/>
      <c r="T18" s="216"/>
      <c r="U18" s="190"/>
      <c r="V18" s="190"/>
      <c r="W18" s="217"/>
      <c r="X18" s="190"/>
      <c r="Y18" s="218"/>
      <c r="Z18" s="371">
        <v>10037588.25055778</v>
      </c>
      <c r="AA18" s="371">
        <v>11448248.936609412</v>
      </c>
      <c r="AB18" s="371">
        <v>12670355.807335865</v>
      </c>
      <c r="AC18" s="371">
        <v>14296904.562516961</v>
      </c>
      <c r="AD18" s="371">
        <v>15402943.831333149</v>
      </c>
      <c r="AE18" s="371">
        <v>16221535.758395702</v>
      </c>
      <c r="AF18" s="371">
        <v>17804397.199380554</v>
      </c>
      <c r="AG18" s="371">
        <v>20008994.224988818</v>
      </c>
      <c r="AH18" s="371">
        <v>22186486.217528827</v>
      </c>
      <c r="AI18" s="371">
        <v>24573339.164210141</v>
      </c>
      <c r="AJ18" s="371">
        <v>27287266.366335154</v>
      </c>
      <c r="AK18" s="371">
        <v>31208162.232745226</v>
      </c>
      <c r="AL18" s="371">
        <v>35676831.348999143</v>
      </c>
      <c r="AM18" s="371">
        <v>38945897.768422052</v>
      </c>
      <c r="AN18" s="371">
        <v>43299556.045846783</v>
      </c>
      <c r="AO18" s="371">
        <v>45990764.45759137</v>
      </c>
      <c r="AP18" s="371">
        <v>49944544.885168411</v>
      </c>
      <c r="AQ18" s="371">
        <v>53648514.553663537</v>
      </c>
      <c r="AR18" s="4"/>
      <c r="AS18" s="4"/>
      <c r="AT18" s="4"/>
      <c r="AU18" s="4"/>
      <c r="AV18" s="4"/>
      <c r="AW18" s="477"/>
    </row>
    <row r="19" spans="1:49" s="16" customFormat="1" ht="15.75" customHeight="1" x14ac:dyDescent="0.2">
      <c r="A19" s="10"/>
      <c r="B19" s="375" t="s">
        <v>7</v>
      </c>
      <c r="C19" s="141"/>
      <c r="D19" s="132"/>
      <c r="E19" s="132"/>
      <c r="F19" s="132"/>
      <c r="G19" s="132"/>
      <c r="H19" s="132"/>
      <c r="I19" s="132"/>
      <c r="J19" s="132"/>
      <c r="K19" s="132"/>
      <c r="L19" s="132"/>
      <c r="M19" s="132"/>
      <c r="N19" s="132"/>
      <c r="O19" s="132"/>
      <c r="P19" s="132"/>
      <c r="Q19" s="132"/>
      <c r="R19" s="132"/>
      <c r="S19" s="190"/>
      <c r="T19" s="216"/>
      <c r="U19" s="190"/>
      <c r="V19" s="190"/>
      <c r="W19" s="217"/>
      <c r="X19" s="190"/>
      <c r="Y19" s="218"/>
      <c r="Z19" s="371">
        <v>9872551.5696566664</v>
      </c>
      <c r="AA19" s="371">
        <v>11140265.784997238</v>
      </c>
      <c r="AB19" s="371">
        <v>11938950.552327935</v>
      </c>
      <c r="AC19" s="371">
        <v>13450544.442028275</v>
      </c>
      <c r="AD19" s="371">
        <v>14740806.737449903</v>
      </c>
      <c r="AE19" s="371">
        <v>16100514.304710284</v>
      </c>
      <c r="AF19" s="371">
        <v>18522123.390527617</v>
      </c>
      <c r="AG19" s="371">
        <v>20225430.239461768</v>
      </c>
      <c r="AH19" s="371">
        <v>22296243.455992464</v>
      </c>
      <c r="AI19" s="371">
        <v>24049647.088324521</v>
      </c>
      <c r="AJ19" s="371">
        <v>26927856.637761846</v>
      </c>
      <c r="AK19" s="371">
        <v>30181308.551489521</v>
      </c>
      <c r="AL19" s="371">
        <v>32633655.224447057</v>
      </c>
      <c r="AM19" s="371">
        <v>35489078.335713826</v>
      </c>
      <c r="AN19" s="371">
        <v>39248202.220154069</v>
      </c>
      <c r="AO19" s="371">
        <v>40845530.987397589</v>
      </c>
      <c r="AP19" s="371">
        <v>43523373.374425963</v>
      </c>
      <c r="AQ19" s="371">
        <v>46577745.083162948</v>
      </c>
      <c r="AR19" s="4"/>
      <c r="AS19" s="4"/>
      <c r="AT19" s="4"/>
      <c r="AU19" s="4"/>
      <c r="AV19" s="4"/>
      <c r="AW19" s="477"/>
    </row>
    <row r="20" spans="1:49" ht="15.75" customHeight="1" x14ac:dyDescent="0.2">
      <c r="A20" s="123"/>
      <c r="B20" s="247" t="s">
        <v>800</v>
      </c>
      <c r="C20" s="197"/>
      <c r="D20" s="125"/>
      <c r="E20" s="125"/>
      <c r="F20" s="125"/>
      <c r="G20" s="125"/>
      <c r="H20" s="125"/>
      <c r="I20" s="125"/>
      <c r="J20" s="125"/>
      <c r="K20" s="125"/>
      <c r="L20" s="125"/>
      <c r="M20" s="125"/>
      <c r="N20" s="125"/>
      <c r="O20" s="125"/>
      <c r="P20" s="125"/>
      <c r="Q20" s="125"/>
      <c r="R20" s="125"/>
      <c r="S20" s="190"/>
      <c r="T20" s="216"/>
      <c r="U20" s="190"/>
      <c r="V20" s="190"/>
      <c r="W20" s="217"/>
      <c r="X20" s="190"/>
      <c r="Y20" s="218"/>
      <c r="Z20" s="371">
        <v>6962798.507033308</v>
      </c>
      <c r="AA20" s="330">
        <v>7641737.9018828617</v>
      </c>
      <c r="AB20" s="330">
        <v>8271156.2946185851</v>
      </c>
      <c r="AC20" s="330">
        <v>8911243.6103703175</v>
      </c>
      <c r="AD20" s="330">
        <v>9443457.9956815448</v>
      </c>
      <c r="AE20" s="330">
        <v>10389206.944247389</v>
      </c>
      <c r="AF20" s="330">
        <v>11849731.10433946</v>
      </c>
      <c r="AG20" s="330">
        <v>12996994.992877979</v>
      </c>
      <c r="AH20" s="330">
        <v>14474473.647935692</v>
      </c>
      <c r="AI20" s="330">
        <v>15696884.783402899</v>
      </c>
      <c r="AJ20" s="330">
        <v>17275788.894402217</v>
      </c>
      <c r="AK20" s="330">
        <v>19383681.134440009</v>
      </c>
      <c r="AL20" s="330">
        <v>21239566.177918527</v>
      </c>
      <c r="AM20" s="330">
        <v>23239304.603190534</v>
      </c>
      <c r="AN20" s="330">
        <v>25850541.356909543</v>
      </c>
      <c r="AO20" s="330">
        <v>27855056.682795063</v>
      </c>
      <c r="AP20" s="330">
        <v>29766321.72306608</v>
      </c>
      <c r="AQ20" s="330">
        <v>31866000.197620977</v>
      </c>
      <c r="AR20" s="7"/>
      <c r="AS20" s="7"/>
      <c r="AT20" s="7"/>
      <c r="AU20" s="7"/>
      <c r="AV20" s="7"/>
      <c r="AW20" s="31"/>
    </row>
    <row r="21" spans="1:49" ht="48" x14ac:dyDescent="0.2">
      <c r="A21" s="123">
        <v>2</v>
      </c>
      <c r="B21" s="129" t="s">
        <v>31</v>
      </c>
      <c r="C21" s="130" t="s">
        <v>352</v>
      </c>
      <c r="D21" s="130" t="s">
        <v>346</v>
      </c>
      <c r="E21" s="130" t="s">
        <v>347</v>
      </c>
      <c r="F21" s="130"/>
      <c r="G21" s="130" t="s">
        <v>279</v>
      </c>
      <c r="H21" s="130" t="s">
        <v>872</v>
      </c>
      <c r="I21" s="130" t="s">
        <v>332</v>
      </c>
      <c r="J21" s="130" t="s">
        <v>333</v>
      </c>
      <c r="K21" s="130" t="s">
        <v>334</v>
      </c>
      <c r="L21" s="130"/>
      <c r="M21" s="130" t="s">
        <v>285</v>
      </c>
      <c r="N21" s="130" t="s">
        <v>286</v>
      </c>
      <c r="O21" s="130" t="s">
        <v>350</v>
      </c>
      <c r="P21" s="130" t="s">
        <v>354</v>
      </c>
      <c r="Q21" s="130" t="s">
        <v>289</v>
      </c>
      <c r="R21" s="130" t="s">
        <v>968</v>
      </c>
      <c r="S21" s="190"/>
      <c r="T21" s="216" t="s">
        <v>794</v>
      </c>
      <c r="U21" s="190"/>
      <c r="V21" s="190"/>
      <c r="W21" s="217"/>
      <c r="X21" s="190"/>
      <c r="Y21" s="190"/>
      <c r="Z21" s="152"/>
      <c r="AA21" s="7"/>
      <c r="AB21" s="7"/>
      <c r="AC21" s="7"/>
      <c r="AD21" s="7"/>
      <c r="AE21" s="7"/>
      <c r="AF21" s="7"/>
      <c r="AG21" s="7"/>
      <c r="AH21" s="7"/>
      <c r="AI21" s="7"/>
      <c r="AJ21" s="7"/>
      <c r="AK21" s="7"/>
      <c r="AL21" s="7"/>
      <c r="AM21" s="7"/>
      <c r="AN21" s="7"/>
      <c r="AO21" s="7"/>
      <c r="AP21" s="7"/>
      <c r="AQ21" s="7"/>
      <c r="AR21" s="7"/>
      <c r="AS21" s="7"/>
      <c r="AT21" s="7"/>
      <c r="AU21" s="7"/>
      <c r="AV21" s="7"/>
      <c r="AW21" s="31"/>
    </row>
    <row r="22" spans="1:49" s="339" customFormat="1" ht="15.75" x14ac:dyDescent="0.2">
      <c r="A22" s="331"/>
      <c r="B22" s="310" t="s">
        <v>3</v>
      </c>
      <c r="C22" s="332"/>
      <c r="D22" s="332"/>
      <c r="E22" s="332"/>
      <c r="F22" s="332"/>
      <c r="G22" s="332"/>
      <c r="H22" s="332"/>
      <c r="I22" s="332"/>
      <c r="J22" s="332"/>
      <c r="K22" s="332"/>
      <c r="L22" s="332"/>
      <c r="M22" s="332"/>
      <c r="N22" s="332"/>
      <c r="O22" s="332"/>
      <c r="P22" s="332"/>
      <c r="Q22" s="332"/>
      <c r="R22" s="332"/>
      <c r="S22" s="333"/>
      <c r="T22" s="334"/>
      <c r="U22" s="333"/>
      <c r="V22" s="333"/>
      <c r="W22" s="335"/>
      <c r="X22" s="333"/>
      <c r="Y22" s="333"/>
      <c r="Z22" s="336">
        <v>35177683.939000003</v>
      </c>
      <c r="AA22" s="337">
        <v>36824669.491999999</v>
      </c>
      <c r="AB22" s="337">
        <v>44904559.197999999</v>
      </c>
      <c r="AC22" s="337">
        <v>47052204.017999999</v>
      </c>
      <c r="AD22" s="337">
        <v>60289566.392999999</v>
      </c>
      <c r="AE22" s="337">
        <v>76791249.457000002</v>
      </c>
      <c r="AF22" s="337">
        <v>82381823.917999998</v>
      </c>
      <c r="AG22" s="337">
        <v>83700445.674999997</v>
      </c>
      <c r="AH22" s="337">
        <v>87476981.809</v>
      </c>
      <c r="AI22" s="337">
        <v>110195512.208</v>
      </c>
      <c r="AJ22" s="337">
        <v>141398612.18200001</v>
      </c>
      <c r="AK22" s="337">
        <v>172240836.53299999</v>
      </c>
      <c r="AL22" s="337">
        <v>270511234.79799998</v>
      </c>
      <c r="AM22" s="337">
        <v>202760806.88800001</v>
      </c>
      <c r="AN22" s="337">
        <v>242703804.86000001</v>
      </c>
      <c r="AO22" s="337">
        <v>296055680.20999998</v>
      </c>
      <c r="AP22" s="337">
        <v>304869654.04400003</v>
      </c>
      <c r="AQ22" s="337">
        <v>350383799.81300002</v>
      </c>
      <c r="AR22" s="56"/>
      <c r="AS22" s="56"/>
      <c r="AT22" s="56"/>
      <c r="AU22" s="56"/>
      <c r="AV22" s="56"/>
      <c r="AW22" s="338"/>
    </row>
    <row r="23" spans="1:49" s="339" customFormat="1" ht="15.75" x14ac:dyDescent="0.2">
      <c r="A23" s="331"/>
      <c r="B23" s="310" t="s">
        <v>4</v>
      </c>
      <c r="C23" s="332"/>
      <c r="D23" s="332"/>
      <c r="E23" s="332"/>
      <c r="F23" s="332"/>
      <c r="G23" s="332"/>
      <c r="H23" s="332"/>
      <c r="I23" s="332"/>
      <c r="J23" s="332"/>
      <c r="K23" s="332"/>
      <c r="L23" s="332"/>
      <c r="M23" s="332"/>
      <c r="N23" s="332"/>
      <c r="O23" s="332"/>
      <c r="P23" s="332"/>
      <c r="Q23" s="332"/>
      <c r="R23" s="332"/>
      <c r="S23" s="333"/>
      <c r="T23" s="334"/>
      <c r="U23" s="333"/>
      <c r="V23" s="333"/>
      <c r="W23" s="335"/>
      <c r="X23" s="333"/>
      <c r="Y23" s="333"/>
      <c r="Z23" s="336">
        <v>33152022.299999997</v>
      </c>
      <c r="AA23" s="337">
        <v>34974379.333000004</v>
      </c>
      <c r="AB23" s="337">
        <v>36204063.445</v>
      </c>
      <c r="AC23" s="337">
        <v>37630050.258999996</v>
      </c>
      <c r="AD23" s="337">
        <v>43561303.750999995</v>
      </c>
      <c r="AE23" s="337">
        <v>43779611.140000001</v>
      </c>
      <c r="AF23" s="337">
        <v>59514448.105000004</v>
      </c>
      <c r="AG23" s="337">
        <v>54908167.042000003</v>
      </c>
      <c r="AH23" s="337">
        <v>63197033.586999997</v>
      </c>
      <c r="AI23" s="337">
        <v>56691443.873999998</v>
      </c>
      <c r="AJ23" s="337">
        <v>81445286.968999997</v>
      </c>
      <c r="AK23" s="337">
        <v>95412672.040000007</v>
      </c>
      <c r="AL23" s="337">
        <v>125543427.74599999</v>
      </c>
      <c r="AM23" s="337">
        <v>118914019.876</v>
      </c>
      <c r="AN23" s="337">
        <v>140895568.17399999</v>
      </c>
      <c r="AO23" s="337">
        <v>179394707.08700001</v>
      </c>
      <c r="AP23" s="337">
        <v>176678162.76100001</v>
      </c>
      <c r="AQ23" s="337">
        <v>186837843.80099997</v>
      </c>
      <c r="AR23" s="56"/>
      <c r="AS23" s="56"/>
      <c r="AT23" s="56"/>
      <c r="AU23" s="56"/>
      <c r="AV23" s="56"/>
      <c r="AW23" s="338"/>
    </row>
    <row r="24" spans="1:49" s="339" customFormat="1" ht="15.75" x14ac:dyDescent="0.2">
      <c r="A24" s="331"/>
      <c r="B24" s="310" t="s">
        <v>5</v>
      </c>
      <c r="C24" s="332"/>
      <c r="D24" s="332"/>
      <c r="E24" s="332"/>
      <c r="F24" s="332"/>
      <c r="G24" s="332"/>
      <c r="H24" s="332"/>
      <c r="I24" s="332"/>
      <c r="J24" s="332"/>
      <c r="K24" s="332"/>
      <c r="L24" s="332"/>
      <c r="M24" s="332"/>
      <c r="N24" s="332"/>
      <c r="O24" s="332"/>
      <c r="P24" s="332"/>
      <c r="Q24" s="332"/>
      <c r="R24" s="332"/>
      <c r="S24" s="333"/>
      <c r="T24" s="334"/>
      <c r="U24" s="333"/>
      <c r="V24" s="333"/>
      <c r="W24" s="335"/>
      <c r="X24" s="333"/>
      <c r="Y24" s="333"/>
      <c r="Z24" s="336">
        <v>7854657.7599999998</v>
      </c>
      <c r="AA24" s="337">
        <v>7636172.9139999999</v>
      </c>
      <c r="AB24" s="337">
        <v>9488485.1219999995</v>
      </c>
      <c r="AC24" s="337">
        <v>10910456.823000001</v>
      </c>
      <c r="AD24" s="337">
        <v>14472410.778999999</v>
      </c>
      <c r="AE24" s="337">
        <v>17242447.807999998</v>
      </c>
      <c r="AF24" s="337">
        <v>25764472.002999999</v>
      </c>
      <c r="AG24" s="337">
        <v>25190781.923999999</v>
      </c>
      <c r="AH24" s="337">
        <v>22017580.598999999</v>
      </c>
      <c r="AI24" s="337">
        <v>26293800.594999999</v>
      </c>
      <c r="AJ24" s="337">
        <v>32688130.057</v>
      </c>
      <c r="AK24" s="337">
        <v>40718897.266000003</v>
      </c>
      <c r="AL24" s="337">
        <v>45169428.494999997</v>
      </c>
      <c r="AM24" s="337">
        <v>41415357.851000004</v>
      </c>
      <c r="AN24" s="337">
        <v>44042480.097999997</v>
      </c>
      <c r="AO24" s="337">
        <v>47887130.795999996</v>
      </c>
      <c r="AP24" s="337">
        <v>55427457.952</v>
      </c>
      <c r="AQ24" s="337">
        <v>65985345.707999997</v>
      </c>
      <c r="AR24" s="56"/>
      <c r="AS24" s="56"/>
      <c r="AT24" s="56"/>
      <c r="AU24" s="56"/>
      <c r="AV24" s="56"/>
      <c r="AW24" s="338"/>
    </row>
    <row r="25" spans="1:49" s="339" customFormat="1" ht="15.75" x14ac:dyDescent="0.2">
      <c r="A25" s="331"/>
      <c r="B25" s="310" t="s">
        <v>251</v>
      </c>
      <c r="C25" s="332"/>
      <c r="D25" s="332"/>
      <c r="E25" s="332"/>
      <c r="F25" s="332"/>
      <c r="G25" s="332"/>
      <c r="H25" s="332"/>
      <c r="I25" s="332"/>
      <c r="J25" s="332"/>
      <c r="K25" s="332"/>
      <c r="L25" s="332"/>
      <c r="M25" s="332"/>
      <c r="N25" s="332"/>
      <c r="O25" s="332"/>
      <c r="P25" s="332"/>
      <c r="Q25" s="332"/>
      <c r="R25" s="332"/>
      <c r="S25" s="333"/>
      <c r="T25" s="334"/>
      <c r="U25" s="333"/>
      <c r="V25" s="333"/>
      <c r="W25" s="335"/>
      <c r="X25" s="333"/>
      <c r="Y25" s="333"/>
      <c r="Z25" s="336">
        <v>13132127.845000001</v>
      </c>
      <c r="AA25" s="337">
        <v>13700038.905999999</v>
      </c>
      <c r="AB25" s="337">
        <v>16425596.380000001</v>
      </c>
      <c r="AC25" s="337">
        <v>16809639.274999999</v>
      </c>
      <c r="AD25" s="337">
        <v>21222324.427000001</v>
      </c>
      <c r="AE25" s="337">
        <v>26069431.844000001</v>
      </c>
      <c r="AF25" s="337">
        <v>32007716.307999998</v>
      </c>
      <c r="AG25" s="337">
        <v>30279658.629999999</v>
      </c>
      <c r="AH25" s="337">
        <v>27895262.748</v>
      </c>
      <c r="AI25" s="337">
        <v>24889289.103999998</v>
      </c>
      <c r="AJ25" s="337">
        <v>32193567.561999999</v>
      </c>
      <c r="AK25" s="337">
        <v>39408828.998999998</v>
      </c>
      <c r="AL25" s="337">
        <v>51375754.086000003</v>
      </c>
      <c r="AM25" s="337">
        <v>37664586.379000001</v>
      </c>
      <c r="AN25" s="337">
        <v>40642257.582999997</v>
      </c>
      <c r="AO25" s="337">
        <v>47728957.387000002</v>
      </c>
      <c r="AP25" s="337">
        <v>52199343.729999997</v>
      </c>
      <c r="AQ25" s="337">
        <v>60151043.854000002</v>
      </c>
      <c r="AR25" s="56"/>
      <c r="AS25" s="56"/>
      <c r="AT25" s="56"/>
      <c r="AU25" s="56"/>
      <c r="AV25" s="56"/>
      <c r="AW25" s="338"/>
    </row>
    <row r="26" spans="1:49" s="339" customFormat="1" ht="15.75" x14ac:dyDescent="0.2">
      <c r="A26" s="331"/>
      <c r="B26" s="310" t="s">
        <v>252</v>
      </c>
      <c r="C26" s="332"/>
      <c r="D26" s="332"/>
      <c r="E26" s="332"/>
      <c r="F26" s="332"/>
      <c r="G26" s="332"/>
      <c r="H26" s="332"/>
      <c r="I26" s="332"/>
      <c r="J26" s="332"/>
      <c r="K26" s="332"/>
      <c r="L26" s="332"/>
      <c r="M26" s="332"/>
      <c r="N26" s="332"/>
      <c r="O26" s="332"/>
      <c r="P26" s="332"/>
      <c r="Q26" s="332"/>
      <c r="R26" s="332"/>
      <c r="S26" s="333"/>
      <c r="T26" s="334"/>
      <c r="U26" s="333"/>
      <c r="V26" s="333"/>
      <c r="W26" s="335"/>
      <c r="X26" s="333"/>
      <c r="Y26" s="333"/>
      <c r="Z26" s="336">
        <v>9697632.1199999992</v>
      </c>
      <c r="AA26" s="337">
        <v>9802105.3369999994</v>
      </c>
      <c r="AB26" s="337">
        <v>8920869.898</v>
      </c>
      <c r="AC26" s="337">
        <v>12268813.925000001</v>
      </c>
      <c r="AD26" s="337">
        <v>15996184.896</v>
      </c>
      <c r="AE26" s="337">
        <v>18208033.407000002</v>
      </c>
      <c r="AF26" s="337">
        <v>17813327.379000001</v>
      </c>
      <c r="AG26" s="337">
        <v>12700792.067</v>
      </c>
      <c r="AH26" s="337">
        <v>17455182.956</v>
      </c>
      <c r="AI26" s="337">
        <v>21146092.489</v>
      </c>
      <c r="AJ26" s="337">
        <v>28775402.471000001</v>
      </c>
      <c r="AK26" s="337">
        <v>37686636.442000002</v>
      </c>
      <c r="AL26" s="337">
        <v>43459419.005000003</v>
      </c>
      <c r="AM26" s="337">
        <v>35810508.358000003</v>
      </c>
      <c r="AN26" s="337">
        <v>43652201.917999998</v>
      </c>
      <c r="AO26" s="337">
        <v>51048370.435000002</v>
      </c>
      <c r="AP26" s="337">
        <v>58340868.501999997</v>
      </c>
      <c r="AQ26" s="337">
        <v>65031654.273000002</v>
      </c>
      <c r="AR26" s="56"/>
      <c r="AS26" s="56"/>
      <c r="AT26" s="56"/>
      <c r="AU26" s="56"/>
      <c r="AV26" s="56"/>
      <c r="AW26" s="338"/>
    </row>
    <row r="27" spans="1:49" s="339" customFormat="1" ht="15.75" x14ac:dyDescent="0.2">
      <c r="A27" s="331"/>
      <c r="B27" s="310" t="s">
        <v>6</v>
      </c>
      <c r="C27" s="332"/>
      <c r="D27" s="332"/>
      <c r="E27" s="332"/>
      <c r="F27" s="332"/>
      <c r="G27" s="332"/>
      <c r="H27" s="332"/>
      <c r="I27" s="332"/>
      <c r="J27" s="332"/>
      <c r="K27" s="332"/>
      <c r="L27" s="332"/>
      <c r="M27" s="332"/>
      <c r="N27" s="332"/>
      <c r="O27" s="332"/>
      <c r="P27" s="332"/>
      <c r="Q27" s="332"/>
      <c r="R27" s="332"/>
      <c r="S27" s="333"/>
      <c r="T27" s="334"/>
      <c r="U27" s="333"/>
      <c r="V27" s="333"/>
      <c r="W27" s="335"/>
      <c r="X27" s="333"/>
      <c r="Y27" s="333"/>
      <c r="Z27" s="336">
        <v>3298013.2409999999</v>
      </c>
      <c r="AA27" s="337">
        <v>3372991.9360000002</v>
      </c>
      <c r="AB27" s="337">
        <v>4763059.1090000002</v>
      </c>
      <c r="AC27" s="337">
        <v>8409708.1630000006</v>
      </c>
      <c r="AD27" s="337">
        <v>10695519.307</v>
      </c>
      <c r="AE27" s="337">
        <v>11925563.799000001</v>
      </c>
      <c r="AF27" s="337">
        <v>14004097.607000001</v>
      </c>
      <c r="AG27" s="337">
        <v>15559654.992000001</v>
      </c>
      <c r="AH27" s="337">
        <v>16692729.970000001</v>
      </c>
      <c r="AI27" s="337">
        <v>18150678.041000001</v>
      </c>
      <c r="AJ27" s="337">
        <v>26139660.034000002</v>
      </c>
      <c r="AK27" s="337">
        <v>31511379.370999999</v>
      </c>
      <c r="AL27" s="337">
        <v>36815760.064000003</v>
      </c>
      <c r="AM27" s="337">
        <v>21537848.420000002</v>
      </c>
      <c r="AN27" s="337">
        <v>29532150.392000001</v>
      </c>
      <c r="AO27" s="337">
        <v>34589775.391000003</v>
      </c>
      <c r="AP27" s="337">
        <v>29654164.123</v>
      </c>
      <c r="AQ27" s="337">
        <v>33363346.495999999</v>
      </c>
      <c r="AR27" s="56"/>
      <c r="AS27" s="56"/>
      <c r="AT27" s="56"/>
      <c r="AU27" s="56"/>
      <c r="AV27" s="56"/>
      <c r="AW27" s="338"/>
    </row>
    <row r="28" spans="1:49" s="339" customFormat="1" ht="15.75" x14ac:dyDescent="0.2">
      <c r="A28" s="331"/>
      <c r="B28" s="311" t="s">
        <v>8</v>
      </c>
      <c r="C28" s="332"/>
      <c r="D28" s="332"/>
      <c r="E28" s="332"/>
      <c r="F28" s="332"/>
      <c r="G28" s="332"/>
      <c r="H28" s="332"/>
      <c r="I28" s="332"/>
      <c r="J28" s="332"/>
      <c r="K28" s="332"/>
      <c r="L28" s="332"/>
      <c r="M28" s="332"/>
      <c r="N28" s="332"/>
      <c r="O28" s="332"/>
      <c r="P28" s="332"/>
      <c r="Q28" s="332"/>
      <c r="R28" s="332"/>
      <c r="S28" s="333"/>
      <c r="T28" s="334"/>
      <c r="U28" s="333"/>
      <c r="V28" s="333"/>
      <c r="W28" s="335"/>
      <c r="X28" s="333"/>
      <c r="Y28" s="333"/>
      <c r="Z28" s="336">
        <v>537963.80299999996</v>
      </c>
      <c r="AA28" s="337">
        <v>709675.37600000005</v>
      </c>
      <c r="AB28" s="337">
        <v>1266215.5689999999</v>
      </c>
      <c r="AC28" s="337">
        <v>2510225.4989999998</v>
      </c>
      <c r="AD28" s="337">
        <v>2834523.7050000001</v>
      </c>
      <c r="AE28" s="337">
        <v>6731347.5959999999</v>
      </c>
      <c r="AF28" s="337">
        <v>7070206.3420000002</v>
      </c>
      <c r="AG28" s="337">
        <v>6472735.2829999998</v>
      </c>
      <c r="AH28" s="337">
        <v>8484470.8059999999</v>
      </c>
      <c r="AI28" s="337">
        <v>7092888.0029999996</v>
      </c>
      <c r="AJ28" s="337">
        <v>5289884.4419999998</v>
      </c>
      <c r="AK28" s="337">
        <v>2367266.0320000001</v>
      </c>
      <c r="AL28" s="337">
        <v>9753163.6239999998</v>
      </c>
      <c r="AM28" s="337">
        <v>8705569.2909999993</v>
      </c>
      <c r="AN28" s="337">
        <v>901043.20499999996</v>
      </c>
      <c r="AO28" s="337">
        <v>1082427.879</v>
      </c>
      <c r="AP28" s="337">
        <v>1174447.7209999999</v>
      </c>
      <c r="AQ28" s="337">
        <v>1430695.8929999999</v>
      </c>
      <c r="AR28" s="56"/>
      <c r="AS28" s="56"/>
      <c r="AT28" s="56"/>
      <c r="AU28" s="56"/>
      <c r="AV28" s="56"/>
      <c r="AW28" s="338"/>
    </row>
    <row r="29" spans="1:49" s="339" customFormat="1" ht="15.75" x14ac:dyDescent="0.2">
      <c r="A29" s="331"/>
      <c r="B29" s="311" t="s">
        <v>7</v>
      </c>
      <c r="C29" s="332"/>
      <c r="D29" s="332"/>
      <c r="E29" s="332"/>
      <c r="F29" s="332"/>
      <c r="G29" s="332"/>
      <c r="H29" s="332"/>
      <c r="I29" s="332"/>
      <c r="J29" s="332"/>
      <c r="K29" s="332"/>
      <c r="L29" s="332"/>
      <c r="M29" s="332"/>
      <c r="N29" s="332"/>
      <c r="O29" s="332"/>
      <c r="P29" s="332"/>
      <c r="Q29" s="332"/>
      <c r="R29" s="332"/>
      <c r="S29" s="333"/>
      <c r="T29" s="334"/>
      <c r="U29" s="333"/>
      <c r="V29" s="333"/>
      <c r="W29" s="335"/>
      <c r="X29" s="333"/>
      <c r="Y29" s="333"/>
      <c r="Z29" s="336">
        <v>121297.08199999999</v>
      </c>
      <c r="AA29" s="337">
        <v>166141.45499999999</v>
      </c>
      <c r="AB29" s="337">
        <v>160022.58799999999</v>
      </c>
      <c r="AC29" s="337">
        <v>117533.845</v>
      </c>
      <c r="AD29" s="337">
        <v>93553.387000000002</v>
      </c>
      <c r="AE29" s="337">
        <v>140993.52499999999</v>
      </c>
      <c r="AF29" s="337">
        <v>2168606.5830000001</v>
      </c>
      <c r="AG29" s="337">
        <v>671733.23699999996</v>
      </c>
      <c r="AH29" s="337">
        <v>1283309.963</v>
      </c>
      <c r="AI29" s="337">
        <v>1543802.83</v>
      </c>
      <c r="AJ29" s="337">
        <v>1477489.0020000001</v>
      </c>
      <c r="AK29" s="337">
        <v>1695503.1510000001</v>
      </c>
      <c r="AL29" s="337">
        <v>2148879.4270000001</v>
      </c>
      <c r="AM29" s="337">
        <v>546650.60499999998</v>
      </c>
      <c r="AN29" s="337">
        <v>971609.53799999994</v>
      </c>
      <c r="AO29" s="337">
        <v>1009033.934</v>
      </c>
      <c r="AP29" s="337">
        <v>1433160.892</v>
      </c>
      <c r="AQ29" s="337">
        <v>1795601.371</v>
      </c>
      <c r="AR29" s="56"/>
      <c r="AS29" s="56"/>
      <c r="AT29" s="56"/>
      <c r="AU29" s="56"/>
      <c r="AV29" s="56"/>
      <c r="AW29" s="338"/>
    </row>
    <row r="30" spans="1:49" s="339" customFormat="1" ht="15.75" x14ac:dyDescent="0.2">
      <c r="A30" s="331"/>
      <c r="B30" s="311" t="s">
        <v>800</v>
      </c>
      <c r="C30" s="332"/>
      <c r="D30" s="332"/>
      <c r="E30" s="332"/>
      <c r="F30" s="332"/>
      <c r="G30" s="332"/>
      <c r="H30" s="332"/>
      <c r="I30" s="332"/>
      <c r="J30" s="332"/>
      <c r="K30" s="332"/>
      <c r="L30" s="332"/>
      <c r="M30" s="332"/>
      <c r="N30" s="332"/>
      <c r="O30" s="332"/>
      <c r="P30" s="332"/>
      <c r="Q30" s="332"/>
      <c r="R30" s="332"/>
      <c r="S30" s="333"/>
      <c r="T30" s="334"/>
      <c r="U30" s="333"/>
      <c r="V30" s="333"/>
      <c r="W30" s="335"/>
      <c r="X30" s="333"/>
      <c r="Y30" s="333"/>
      <c r="Z30" s="336">
        <v>959499.41200000001</v>
      </c>
      <c r="AA30" s="337">
        <v>902647.83799999999</v>
      </c>
      <c r="AB30" s="337">
        <v>1179174.963</v>
      </c>
      <c r="AC30" s="337">
        <v>1103835.4410000001</v>
      </c>
      <c r="AD30" s="337">
        <v>2188188.4640000002</v>
      </c>
      <c r="AE30" s="337">
        <v>3060281.6630000002</v>
      </c>
      <c r="AF30" s="337">
        <v>4538652.1919999998</v>
      </c>
      <c r="AG30" s="337">
        <v>4574808.5619999999</v>
      </c>
      <c r="AH30" s="337">
        <v>4520792.4440000001</v>
      </c>
      <c r="AI30" s="337">
        <v>5357074.9670000002</v>
      </c>
      <c r="AJ30" s="337">
        <v>6150571.2819999997</v>
      </c>
      <c r="AK30" s="337">
        <v>7180823.2039999999</v>
      </c>
      <c r="AL30" s="337">
        <v>7667828.7019999996</v>
      </c>
      <c r="AM30" s="337">
        <v>5120646.1789999995</v>
      </c>
      <c r="AN30" s="337">
        <v>6242432.7220000001</v>
      </c>
      <c r="AO30" s="337">
        <v>7250810.1950000003</v>
      </c>
      <c r="AP30" s="337">
        <v>7529865.6629999997</v>
      </c>
      <c r="AQ30" s="337">
        <v>8378804.7429999998</v>
      </c>
      <c r="AR30" s="56"/>
      <c r="AS30" s="56"/>
      <c r="AT30" s="56"/>
      <c r="AU30" s="56"/>
      <c r="AV30" s="56"/>
      <c r="AW30" s="338"/>
    </row>
    <row r="31" spans="1:49" ht="48" x14ac:dyDescent="0.2">
      <c r="A31" s="123">
        <v>3</v>
      </c>
      <c r="B31" s="129" t="s">
        <v>32</v>
      </c>
      <c r="C31" s="130" t="s">
        <v>355</v>
      </c>
      <c r="D31" s="130" t="s">
        <v>346</v>
      </c>
      <c r="E31" s="130" t="s">
        <v>347</v>
      </c>
      <c r="F31" s="130"/>
      <c r="G31" s="130" t="s">
        <v>306</v>
      </c>
      <c r="H31" s="130" t="s">
        <v>873</v>
      </c>
      <c r="I31" s="130" t="s">
        <v>332</v>
      </c>
      <c r="J31" s="130" t="s">
        <v>333</v>
      </c>
      <c r="K31" s="130" t="s">
        <v>334</v>
      </c>
      <c r="L31" s="130"/>
      <c r="M31" s="130" t="s">
        <v>285</v>
      </c>
      <c r="N31" s="130" t="s">
        <v>286</v>
      </c>
      <c r="O31" s="130" t="s">
        <v>350</v>
      </c>
      <c r="P31" s="130" t="s">
        <v>356</v>
      </c>
      <c r="Q31" s="130" t="s">
        <v>289</v>
      </c>
      <c r="R31" s="130" t="s">
        <v>967</v>
      </c>
      <c r="S31" s="190"/>
      <c r="T31" s="216" t="s">
        <v>794</v>
      </c>
      <c r="U31" s="190"/>
      <c r="V31" s="190"/>
      <c r="W31" s="217"/>
      <c r="X31" s="190"/>
      <c r="Y31" s="218"/>
      <c r="Z31" s="152"/>
      <c r="AA31" s="7"/>
      <c r="AB31" s="7"/>
      <c r="AC31" s="7"/>
      <c r="AD31" s="7"/>
      <c r="AE31" s="7"/>
      <c r="AF31" s="7"/>
      <c r="AG31" s="7"/>
      <c r="AH31" s="7"/>
      <c r="AI31" s="7"/>
      <c r="AJ31" s="7"/>
      <c r="AK31" s="7"/>
      <c r="AL31" s="7"/>
      <c r="AM31" s="7"/>
      <c r="AN31" s="7"/>
      <c r="AO31" s="7"/>
      <c r="AP31" s="7"/>
      <c r="AQ31" s="7"/>
      <c r="AR31" s="7"/>
      <c r="AS31" s="7"/>
      <c r="AT31" s="7"/>
      <c r="AU31" s="7"/>
      <c r="AV31" s="7"/>
      <c r="AW31" s="31"/>
    </row>
    <row r="32" spans="1:49" s="339" customFormat="1" ht="15.75" x14ac:dyDescent="0.2">
      <c r="A32" s="331"/>
      <c r="B32" s="310" t="s">
        <v>3</v>
      </c>
      <c r="C32" s="332"/>
      <c r="D32" s="332"/>
      <c r="E32" s="332"/>
      <c r="F32" s="332"/>
      <c r="G32" s="332"/>
      <c r="H32" s="332"/>
      <c r="I32" s="332"/>
      <c r="J32" s="332"/>
      <c r="K32" s="332"/>
      <c r="L32" s="332"/>
      <c r="M32" s="332"/>
      <c r="N32" s="332"/>
      <c r="O32" s="332"/>
      <c r="P32" s="332"/>
      <c r="Q32" s="332"/>
      <c r="R32" s="332"/>
      <c r="S32" s="333"/>
      <c r="T32" s="334"/>
      <c r="U32" s="333"/>
      <c r="V32" s="333"/>
      <c r="W32" s="335"/>
      <c r="X32" s="333"/>
      <c r="Y32" s="340"/>
      <c r="Z32" s="336">
        <v>43133345.464000002</v>
      </c>
      <c r="AA32" s="337">
        <v>49654345.336000003</v>
      </c>
      <c r="AB32" s="337">
        <v>56754990.247000001</v>
      </c>
      <c r="AC32" s="337">
        <v>54233485.670000002</v>
      </c>
      <c r="AD32" s="337">
        <v>65227687.354999997</v>
      </c>
      <c r="AE32" s="337">
        <v>74160213.171000004</v>
      </c>
      <c r="AF32" s="337">
        <v>90233260.078999996</v>
      </c>
      <c r="AG32" s="337">
        <v>81972613.597000003</v>
      </c>
      <c r="AH32" s="337">
        <v>96985402.900000006</v>
      </c>
      <c r="AI32" s="337">
        <v>112322715.729</v>
      </c>
      <c r="AJ32" s="337">
        <v>149809853.31299999</v>
      </c>
      <c r="AK32" s="337">
        <v>178422989.48300001</v>
      </c>
      <c r="AL32" s="337">
        <v>242573726.84900001</v>
      </c>
      <c r="AM32" s="337">
        <v>202195567.77700001</v>
      </c>
      <c r="AN32" s="337">
        <v>232469120.81900001</v>
      </c>
      <c r="AO32" s="337">
        <v>277812870.49199998</v>
      </c>
      <c r="AP32" s="337">
        <v>313743082.77600002</v>
      </c>
      <c r="AQ32" s="337">
        <v>349049407.56900001</v>
      </c>
      <c r="AR32" s="56"/>
      <c r="AS32" s="56"/>
      <c r="AT32" s="56"/>
      <c r="AU32" s="56"/>
      <c r="AV32" s="56"/>
      <c r="AW32" s="338"/>
    </row>
    <row r="33" spans="1:52" s="339" customFormat="1" ht="15.75" x14ac:dyDescent="0.2">
      <c r="A33" s="331"/>
      <c r="B33" s="310" t="s">
        <v>4</v>
      </c>
      <c r="C33" s="332"/>
      <c r="D33" s="332"/>
      <c r="E33" s="332"/>
      <c r="F33" s="332"/>
      <c r="G33" s="332"/>
      <c r="H33" s="332"/>
      <c r="I33" s="332"/>
      <c r="J33" s="332"/>
      <c r="K33" s="332"/>
      <c r="L33" s="332"/>
      <c r="M33" s="332"/>
      <c r="N33" s="332"/>
      <c r="O33" s="332"/>
      <c r="P33" s="332"/>
      <c r="Q33" s="332"/>
      <c r="R33" s="332"/>
      <c r="S33" s="333"/>
      <c r="T33" s="334"/>
      <c r="U33" s="333"/>
      <c r="V33" s="333"/>
      <c r="W33" s="335"/>
      <c r="X33" s="333"/>
      <c r="Y33" s="340"/>
      <c r="Z33" s="336">
        <v>8180624.347000001</v>
      </c>
      <c r="AA33" s="337">
        <v>8105963.7910000002</v>
      </c>
      <c r="AB33" s="337">
        <v>11029660.915000001</v>
      </c>
      <c r="AC33" s="337">
        <v>10809353.585000001</v>
      </c>
      <c r="AD33" s="337">
        <v>15751232.98</v>
      </c>
      <c r="AE33" s="337">
        <v>20398648.344000001</v>
      </c>
      <c r="AF33" s="337">
        <v>27560293.095000003</v>
      </c>
      <c r="AG33" s="337">
        <v>25880775.978999998</v>
      </c>
      <c r="AH33" s="337">
        <v>33480020.166999999</v>
      </c>
      <c r="AI33" s="337">
        <v>36306197.116999999</v>
      </c>
      <c r="AJ33" s="337">
        <v>44741717.241999999</v>
      </c>
      <c r="AK33" s="337">
        <v>51591842.853</v>
      </c>
      <c r="AL33" s="337">
        <v>55182115.412</v>
      </c>
      <c r="AM33" s="337">
        <v>41735288.719000004</v>
      </c>
      <c r="AN33" s="337">
        <v>58057654.218000002</v>
      </c>
      <c r="AO33" s="337">
        <v>65764607.355999999</v>
      </c>
      <c r="AP33" s="337">
        <v>76098236.502000004</v>
      </c>
      <c r="AQ33" s="337">
        <v>86203976.420000002</v>
      </c>
      <c r="AR33" s="56"/>
      <c r="AS33" s="56"/>
      <c r="AT33" s="56"/>
      <c r="AU33" s="56"/>
      <c r="AV33" s="56"/>
      <c r="AW33" s="338"/>
    </row>
    <row r="34" spans="1:52" s="339" customFormat="1" ht="15.75" x14ac:dyDescent="0.2">
      <c r="A34" s="331"/>
      <c r="B34" s="310" t="s">
        <v>5</v>
      </c>
      <c r="C34" s="332"/>
      <c r="D34" s="332"/>
      <c r="E34" s="332"/>
      <c r="F34" s="332"/>
      <c r="G34" s="332"/>
      <c r="H34" s="332"/>
      <c r="I34" s="332"/>
      <c r="J34" s="332"/>
      <c r="K34" s="332"/>
      <c r="L34" s="332"/>
      <c r="M34" s="332"/>
      <c r="N34" s="332"/>
      <c r="O34" s="332"/>
      <c r="P34" s="332"/>
      <c r="Q34" s="332"/>
      <c r="R34" s="332"/>
      <c r="S34" s="333"/>
      <c r="T34" s="334"/>
      <c r="U34" s="333"/>
      <c r="V34" s="333"/>
      <c r="W34" s="335"/>
      <c r="X34" s="333"/>
      <c r="Y34" s="340"/>
      <c r="Z34" s="336">
        <v>12091962.017999999</v>
      </c>
      <c r="AA34" s="337">
        <v>13281703.367000001</v>
      </c>
      <c r="AB34" s="337">
        <v>14429513.533</v>
      </c>
      <c r="AC34" s="337">
        <v>16164788.889</v>
      </c>
      <c r="AD34" s="337">
        <v>24219250.313999999</v>
      </c>
      <c r="AE34" s="337">
        <v>27210920.241999999</v>
      </c>
      <c r="AF34" s="337">
        <v>36555811.328000002</v>
      </c>
      <c r="AG34" s="337">
        <v>32841545.210000001</v>
      </c>
      <c r="AH34" s="337">
        <v>39566139.478</v>
      </c>
      <c r="AI34" s="337">
        <v>50623209.193000004</v>
      </c>
      <c r="AJ34" s="337">
        <v>74770793.354000002</v>
      </c>
      <c r="AK34" s="337">
        <v>86654468.459999993</v>
      </c>
      <c r="AL34" s="337">
        <v>118629504.662</v>
      </c>
      <c r="AM34" s="337">
        <v>95374286.759000003</v>
      </c>
      <c r="AN34" s="337">
        <v>82785716.606000006</v>
      </c>
      <c r="AO34" s="337">
        <v>110624546.646</v>
      </c>
      <c r="AP34" s="337">
        <v>146176463.10699999</v>
      </c>
      <c r="AQ34" s="337">
        <v>178656615.676</v>
      </c>
      <c r="AR34" s="56"/>
      <c r="AS34" s="56"/>
      <c r="AT34" s="56"/>
      <c r="AU34" s="56"/>
      <c r="AV34" s="56"/>
      <c r="AW34" s="338"/>
    </row>
    <row r="35" spans="1:52" s="339" customFormat="1" ht="15.75" x14ac:dyDescent="0.2">
      <c r="A35" s="331"/>
      <c r="B35" s="310" t="s">
        <v>251</v>
      </c>
      <c r="C35" s="332"/>
      <c r="D35" s="332"/>
      <c r="E35" s="332"/>
      <c r="F35" s="332"/>
      <c r="G35" s="332"/>
      <c r="H35" s="332"/>
      <c r="I35" s="332"/>
      <c r="J35" s="332"/>
      <c r="K35" s="332"/>
      <c r="L35" s="332"/>
      <c r="M35" s="332"/>
      <c r="N35" s="332"/>
      <c r="O35" s="332"/>
      <c r="P35" s="332"/>
      <c r="Q35" s="332"/>
      <c r="R35" s="332"/>
      <c r="S35" s="333"/>
      <c r="T35" s="334"/>
      <c r="U35" s="333"/>
      <c r="V35" s="333"/>
      <c r="W35" s="335"/>
      <c r="X35" s="333"/>
      <c r="Y35" s="340"/>
      <c r="Z35" s="336">
        <v>12868433.086999999</v>
      </c>
      <c r="AA35" s="337">
        <v>13680061.955</v>
      </c>
      <c r="AB35" s="337">
        <v>14844063.627</v>
      </c>
      <c r="AC35" s="337">
        <v>12003405.154999999</v>
      </c>
      <c r="AD35" s="337">
        <v>13293877.983999999</v>
      </c>
      <c r="AE35" s="337">
        <v>16231419.458000001</v>
      </c>
      <c r="AF35" s="337">
        <v>23329580.342</v>
      </c>
      <c r="AG35" s="337">
        <v>25248151.653000001</v>
      </c>
      <c r="AH35" s="337">
        <v>34701393.954000004</v>
      </c>
      <c r="AI35" s="337">
        <v>40371388.343999997</v>
      </c>
      <c r="AJ35" s="337">
        <v>48633146.704999998</v>
      </c>
      <c r="AK35" s="337">
        <v>59822480.442000002</v>
      </c>
      <c r="AL35" s="337">
        <v>68114872.260000005</v>
      </c>
      <c r="AM35" s="337">
        <v>52680401.869999997</v>
      </c>
      <c r="AN35" s="337">
        <v>73732522.5</v>
      </c>
      <c r="AO35" s="337">
        <v>92767196.996000007</v>
      </c>
      <c r="AP35" s="337">
        <v>108712737.361</v>
      </c>
      <c r="AQ35" s="337">
        <v>127398297.111</v>
      </c>
      <c r="AR35" s="56"/>
      <c r="AS35" s="56"/>
      <c r="AT35" s="56"/>
      <c r="AU35" s="56"/>
      <c r="AV35" s="56"/>
      <c r="AW35" s="338"/>
    </row>
    <row r="36" spans="1:52" s="339" customFormat="1" ht="15.75" x14ac:dyDescent="0.2">
      <c r="A36" s="331"/>
      <c r="B36" s="310" t="s">
        <v>252</v>
      </c>
      <c r="C36" s="332"/>
      <c r="D36" s="332"/>
      <c r="E36" s="332"/>
      <c r="F36" s="332"/>
      <c r="G36" s="332"/>
      <c r="H36" s="332"/>
      <c r="I36" s="332"/>
      <c r="J36" s="332"/>
      <c r="K36" s="332"/>
      <c r="L36" s="332"/>
      <c r="M36" s="332"/>
      <c r="N36" s="332"/>
      <c r="O36" s="332"/>
      <c r="P36" s="332"/>
      <c r="Q36" s="332"/>
      <c r="R36" s="332"/>
      <c r="S36" s="333"/>
      <c r="T36" s="334"/>
      <c r="U36" s="333"/>
      <c r="V36" s="333"/>
      <c r="W36" s="335"/>
      <c r="X36" s="333"/>
      <c r="Y36" s="340"/>
      <c r="Z36" s="336">
        <v>18694107.159000002</v>
      </c>
      <c r="AA36" s="337">
        <v>21169339.703000002</v>
      </c>
      <c r="AB36" s="337">
        <v>25696114.704999998</v>
      </c>
      <c r="AC36" s="337">
        <v>23828953.719000001</v>
      </c>
      <c r="AD36" s="337">
        <v>28403026.107999999</v>
      </c>
      <c r="AE36" s="337">
        <v>35559598.166000001</v>
      </c>
      <c r="AF36" s="337">
        <v>44690398.056000002</v>
      </c>
      <c r="AG36" s="337">
        <v>42607362.480999999</v>
      </c>
      <c r="AH36" s="337">
        <v>44870332.223999999</v>
      </c>
      <c r="AI36" s="337">
        <v>52878023.989</v>
      </c>
      <c r="AJ36" s="337">
        <v>69283617.103</v>
      </c>
      <c r="AK36" s="337">
        <v>87936452.665000007</v>
      </c>
      <c r="AL36" s="337">
        <v>108516207.896</v>
      </c>
      <c r="AM36" s="337">
        <v>75021763.302000001</v>
      </c>
      <c r="AN36" s="337">
        <v>81581288.927000001</v>
      </c>
      <c r="AO36" s="337">
        <v>102326878.35600001</v>
      </c>
      <c r="AP36" s="337">
        <v>108270396.752</v>
      </c>
      <c r="AQ36" s="337">
        <v>125489903.462</v>
      </c>
      <c r="AR36" s="56"/>
      <c r="AS36" s="56"/>
      <c r="AT36" s="56"/>
      <c r="AU36" s="56"/>
      <c r="AV36" s="56"/>
      <c r="AW36" s="338"/>
    </row>
    <row r="37" spans="1:52" s="339" customFormat="1" ht="15.75" x14ac:dyDescent="0.2">
      <c r="A37" s="331"/>
      <c r="B37" s="310" t="s">
        <v>6</v>
      </c>
      <c r="C37" s="332"/>
      <c r="D37" s="332"/>
      <c r="E37" s="332"/>
      <c r="F37" s="332"/>
      <c r="G37" s="332"/>
      <c r="H37" s="332"/>
      <c r="I37" s="332"/>
      <c r="J37" s="332"/>
      <c r="K37" s="332"/>
      <c r="L37" s="332"/>
      <c r="M37" s="332"/>
      <c r="N37" s="332"/>
      <c r="O37" s="332"/>
      <c r="P37" s="332"/>
      <c r="Q37" s="332"/>
      <c r="R37" s="332"/>
      <c r="S37" s="333"/>
      <c r="T37" s="334"/>
      <c r="U37" s="333"/>
      <c r="V37" s="333"/>
      <c r="W37" s="335"/>
      <c r="X37" s="333"/>
      <c r="Y37" s="340"/>
      <c r="Z37" s="336">
        <v>5827050.8629999999</v>
      </c>
      <c r="AA37" s="337">
        <v>5952360.6150000002</v>
      </c>
      <c r="AB37" s="337">
        <v>7701985.2879999997</v>
      </c>
      <c r="AC37" s="337">
        <v>9983876.0429999996</v>
      </c>
      <c r="AD37" s="337">
        <v>11543317.02</v>
      </c>
      <c r="AE37" s="337">
        <v>11525110.647</v>
      </c>
      <c r="AF37" s="337">
        <v>15357762.195</v>
      </c>
      <c r="AG37" s="337">
        <v>13792691.83</v>
      </c>
      <c r="AH37" s="337">
        <v>15703464.574999999</v>
      </c>
      <c r="AI37" s="337">
        <v>19046996.822999999</v>
      </c>
      <c r="AJ37" s="337">
        <v>24629513.486000001</v>
      </c>
      <c r="AK37" s="337">
        <v>27428759.217</v>
      </c>
      <c r="AL37" s="337">
        <v>30376941.552999999</v>
      </c>
      <c r="AM37" s="337">
        <v>21452912.965</v>
      </c>
      <c r="AN37" s="337">
        <v>28630596.375999998</v>
      </c>
      <c r="AO37" s="337">
        <v>33020794.405999999</v>
      </c>
      <c r="AP37" s="337">
        <v>35667878.131999999</v>
      </c>
      <c r="AQ37" s="337">
        <v>43848358.574000001</v>
      </c>
      <c r="AR37" s="56"/>
      <c r="AS37" s="56"/>
      <c r="AT37" s="56"/>
      <c r="AU37" s="56"/>
      <c r="AV37" s="56"/>
      <c r="AW37" s="338"/>
    </row>
    <row r="38" spans="1:52" s="339" customFormat="1" ht="15.75" x14ac:dyDescent="0.2">
      <c r="A38" s="331"/>
      <c r="B38" s="311" t="s">
        <v>8</v>
      </c>
      <c r="C38" s="332"/>
      <c r="D38" s="332"/>
      <c r="E38" s="332"/>
      <c r="F38" s="332"/>
      <c r="G38" s="332"/>
      <c r="H38" s="332"/>
      <c r="I38" s="332"/>
      <c r="J38" s="332"/>
      <c r="K38" s="332"/>
      <c r="L38" s="332"/>
      <c r="M38" s="332"/>
      <c r="N38" s="332"/>
      <c r="O38" s="332"/>
      <c r="P38" s="332"/>
      <c r="Q38" s="332"/>
      <c r="R38" s="332"/>
      <c r="S38" s="333"/>
      <c r="T38" s="334"/>
      <c r="U38" s="333"/>
      <c r="V38" s="333"/>
      <c r="W38" s="335"/>
      <c r="X38" s="333"/>
      <c r="Y38" s="340"/>
      <c r="Z38" s="336">
        <v>2874268.0950000002</v>
      </c>
      <c r="AA38" s="337">
        <v>2290152.5920000002</v>
      </c>
      <c r="AB38" s="337">
        <v>2268988.8769999999</v>
      </c>
      <c r="AC38" s="337">
        <v>2508136.2779999999</v>
      </c>
      <c r="AD38" s="337">
        <v>3422354.7379999999</v>
      </c>
      <c r="AE38" s="337">
        <v>6458513.7390000001</v>
      </c>
      <c r="AF38" s="337">
        <v>8239349.2220000001</v>
      </c>
      <c r="AG38" s="337">
        <v>8208817.3169999998</v>
      </c>
      <c r="AH38" s="337">
        <v>7998225.5949999997</v>
      </c>
      <c r="AI38" s="337">
        <v>7528440.4419999998</v>
      </c>
      <c r="AJ38" s="337">
        <v>7829944.1600000001</v>
      </c>
      <c r="AK38" s="337">
        <v>8377695.4479999999</v>
      </c>
      <c r="AL38" s="337">
        <v>13201390.423</v>
      </c>
      <c r="AM38" s="337">
        <v>9088119.3699999992</v>
      </c>
      <c r="AN38" s="337">
        <v>2336338.031</v>
      </c>
      <c r="AO38" s="337">
        <v>2951400.807</v>
      </c>
      <c r="AP38" s="337">
        <v>2826392.5460000001</v>
      </c>
      <c r="AQ38" s="337">
        <v>3511999.449</v>
      </c>
      <c r="AR38" s="56"/>
      <c r="AS38" s="56"/>
      <c r="AT38" s="56"/>
      <c r="AU38" s="56"/>
      <c r="AV38" s="56"/>
      <c r="AW38" s="338"/>
    </row>
    <row r="39" spans="1:52" s="339" customFormat="1" ht="15.75" x14ac:dyDescent="0.2">
      <c r="A39" s="331"/>
      <c r="B39" s="311" t="s">
        <v>7</v>
      </c>
      <c r="C39" s="332"/>
      <c r="D39" s="332"/>
      <c r="E39" s="332"/>
      <c r="F39" s="332"/>
      <c r="G39" s="332"/>
      <c r="H39" s="332"/>
      <c r="I39" s="332"/>
      <c r="J39" s="332"/>
      <c r="K39" s="332"/>
      <c r="L39" s="332"/>
      <c r="M39" s="332"/>
      <c r="N39" s="332"/>
      <c r="O39" s="332"/>
      <c r="P39" s="332"/>
      <c r="Q39" s="332"/>
      <c r="R39" s="332"/>
      <c r="S39" s="333"/>
      <c r="T39" s="334"/>
      <c r="U39" s="333"/>
      <c r="V39" s="333"/>
      <c r="W39" s="335"/>
      <c r="X39" s="333"/>
      <c r="Y39" s="340"/>
      <c r="Z39" s="336">
        <v>301072.04800000001</v>
      </c>
      <c r="AA39" s="337">
        <v>337959.58600000001</v>
      </c>
      <c r="AB39" s="337">
        <v>379993.636</v>
      </c>
      <c r="AC39" s="337">
        <v>349066.19900000002</v>
      </c>
      <c r="AD39" s="337">
        <v>427868.10499999998</v>
      </c>
      <c r="AE39" s="337">
        <v>609622.05000000005</v>
      </c>
      <c r="AF39" s="337">
        <v>661770.51800000004</v>
      </c>
      <c r="AG39" s="337">
        <v>504127.984</v>
      </c>
      <c r="AH39" s="337">
        <v>587154.26500000001</v>
      </c>
      <c r="AI39" s="337">
        <v>635906.24199999997</v>
      </c>
      <c r="AJ39" s="337">
        <v>688096.58</v>
      </c>
      <c r="AK39" s="337">
        <v>764481.74600000004</v>
      </c>
      <c r="AL39" s="337">
        <v>821281.53799999994</v>
      </c>
      <c r="AM39" s="337">
        <v>736663.91200000001</v>
      </c>
      <c r="AN39" s="337">
        <v>2942167.0269999998</v>
      </c>
      <c r="AO39" s="337">
        <v>501021.64199999999</v>
      </c>
      <c r="AP39" s="337">
        <v>826901.37100000004</v>
      </c>
      <c r="AQ39" s="337">
        <v>1066485.7990000001</v>
      </c>
      <c r="AR39" s="56"/>
      <c r="AS39" s="56"/>
      <c r="AT39" s="56"/>
      <c r="AU39" s="56"/>
      <c r="AV39" s="56"/>
      <c r="AW39" s="338"/>
    </row>
    <row r="40" spans="1:52" s="339" customFormat="1" ht="15.75" x14ac:dyDescent="0.2">
      <c r="A40" s="331"/>
      <c r="B40" s="311" t="s">
        <v>800</v>
      </c>
      <c r="C40" s="332"/>
      <c r="D40" s="332"/>
      <c r="E40" s="332"/>
      <c r="F40" s="332"/>
      <c r="G40" s="332"/>
      <c r="H40" s="332"/>
      <c r="I40" s="332"/>
      <c r="J40" s="332"/>
      <c r="K40" s="332"/>
      <c r="L40" s="332"/>
      <c r="M40" s="332"/>
      <c r="N40" s="332"/>
      <c r="O40" s="332"/>
      <c r="P40" s="332"/>
      <c r="Q40" s="332"/>
      <c r="R40" s="332"/>
      <c r="S40" s="333"/>
      <c r="T40" s="334"/>
      <c r="U40" s="333"/>
      <c r="V40" s="333"/>
      <c r="W40" s="335"/>
      <c r="X40" s="333"/>
      <c r="Y40" s="340"/>
      <c r="Z40" s="336">
        <v>907832.73699999996</v>
      </c>
      <c r="AA40" s="337">
        <v>1115767.943</v>
      </c>
      <c r="AB40" s="337">
        <v>1317341.8289999999</v>
      </c>
      <c r="AC40" s="337">
        <v>1117242.7290000001</v>
      </c>
      <c r="AD40" s="337">
        <v>1245295.9099999999</v>
      </c>
      <c r="AE40" s="337">
        <v>1741240.8570000001</v>
      </c>
      <c r="AF40" s="337">
        <v>2002334.2209999999</v>
      </c>
      <c r="AG40" s="337">
        <v>1726961.3929999999</v>
      </c>
      <c r="AH40" s="337">
        <v>2045143.064</v>
      </c>
      <c r="AI40" s="337">
        <v>2081068.284</v>
      </c>
      <c r="AJ40" s="337">
        <v>2989524.96</v>
      </c>
      <c r="AK40" s="337">
        <v>3638039.821</v>
      </c>
      <c r="AL40" s="337">
        <v>4627419.4079999998</v>
      </c>
      <c r="AM40" s="337">
        <v>3790719.892</v>
      </c>
      <c r="AN40" s="337">
        <v>5023037.2209999999</v>
      </c>
      <c r="AO40" s="337">
        <v>6624780.6770000001</v>
      </c>
      <c r="AP40" s="337">
        <v>6764208.2630000003</v>
      </c>
      <c r="AQ40" s="337">
        <v>7636427.2019999996</v>
      </c>
      <c r="AR40" s="56"/>
      <c r="AS40" s="56"/>
      <c r="AT40" s="56"/>
      <c r="AU40" s="56"/>
      <c r="AV40" s="56"/>
      <c r="AW40" s="338"/>
    </row>
    <row r="41" spans="1:52" s="398" customFormat="1" ht="60" x14ac:dyDescent="0.2">
      <c r="A41" s="403">
        <v>4</v>
      </c>
      <c r="B41" s="404" t="s">
        <v>33</v>
      </c>
      <c r="C41" s="405" t="s">
        <v>357</v>
      </c>
      <c r="D41" s="405" t="s">
        <v>346</v>
      </c>
      <c r="E41" s="405" t="s">
        <v>347</v>
      </c>
      <c r="F41" s="405"/>
      <c r="G41" s="405" t="s">
        <v>279</v>
      </c>
      <c r="H41" s="405" t="s">
        <v>358</v>
      </c>
      <c r="I41" s="405" t="s">
        <v>359</v>
      </c>
      <c r="J41" s="405" t="s">
        <v>350</v>
      </c>
      <c r="K41" s="405" t="s">
        <v>350</v>
      </c>
      <c r="L41" s="405"/>
      <c r="M41" s="405" t="s">
        <v>285</v>
      </c>
      <c r="N41" s="405" t="s">
        <v>286</v>
      </c>
      <c r="O41" s="405" t="s">
        <v>350</v>
      </c>
      <c r="P41" s="405" t="s">
        <v>360</v>
      </c>
      <c r="Q41" s="405" t="s">
        <v>293</v>
      </c>
      <c r="R41" s="405" t="s">
        <v>925</v>
      </c>
      <c r="S41" s="393" t="s">
        <v>794</v>
      </c>
      <c r="T41" s="426"/>
      <c r="U41" s="425" t="s">
        <v>794</v>
      </c>
      <c r="V41" s="425"/>
      <c r="W41" s="427"/>
      <c r="X41" s="425"/>
      <c r="Y41" s="428"/>
      <c r="Z41" s="406"/>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400"/>
      <c r="AX41" s="435"/>
      <c r="AY41" s="435"/>
      <c r="AZ41" s="435"/>
    </row>
    <row r="42" spans="1:52" ht="15.75" customHeight="1" x14ac:dyDescent="0.2">
      <c r="A42" s="126"/>
      <c r="B42" s="54"/>
      <c r="C42" s="121"/>
      <c r="D42" s="121"/>
      <c r="E42" s="121"/>
      <c r="F42" s="121"/>
      <c r="G42" s="121"/>
      <c r="H42" s="121"/>
      <c r="I42" s="121"/>
      <c r="J42" s="121"/>
      <c r="K42" s="121"/>
      <c r="L42" s="121"/>
      <c r="M42" s="121"/>
      <c r="N42" s="121"/>
      <c r="O42" s="121"/>
      <c r="P42" s="121"/>
      <c r="Q42" s="121"/>
      <c r="R42" s="121"/>
      <c r="S42" s="223"/>
      <c r="T42" s="224"/>
      <c r="U42" s="223"/>
      <c r="V42" s="223"/>
      <c r="W42" s="225"/>
      <c r="X42" s="223"/>
      <c r="Y42" s="226"/>
      <c r="Z42" s="824" t="s">
        <v>3</v>
      </c>
      <c r="AA42" s="824"/>
      <c r="AB42" s="825"/>
      <c r="AC42" s="823" t="s">
        <v>4</v>
      </c>
      <c r="AD42" s="824"/>
      <c r="AE42" s="825"/>
      <c r="AF42" s="823" t="s">
        <v>5</v>
      </c>
      <c r="AG42" s="824"/>
      <c r="AH42" s="825"/>
      <c r="AI42" s="823" t="s">
        <v>251</v>
      </c>
      <c r="AJ42" s="824"/>
      <c r="AK42" s="825"/>
      <c r="AL42" s="823" t="s">
        <v>252</v>
      </c>
      <c r="AM42" s="824"/>
      <c r="AN42" s="825"/>
      <c r="AO42" s="823" t="s">
        <v>6</v>
      </c>
      <c r="AP42" s="824"/>
      <c r="AQ42" s="825"/>
      <c r="AR42" s="823" t="s">
        <v>8</v>
      </c>
      <c r="AS42" s="824"/>
      <c r="AT42" s="825"/>
      <c r="AU42" s="824" t="s">
        <v>7</v>
      </c>
      <c r="AV42" s="824"/>
      <c r="AW42" s="824"/>
      <c r="AX42" s="832" t="s">
        <v>799</v>
      </c>
      <c r="AY42" s="832"/>
      <c r="AZ42" s="832"/>
    </row>
    <row r="43" spans="1:52" ht="15.75" customHeight="1" x14ac:dyDescent="0.2">
      <c r="A43" s="123"/>
      <c r="B43" s="124"/>
      <c r="C43" s="125"/>
      <c r="D43" s="125"/>
      <c r="E43" s="125"/>
      <c r="F43" s="125"/>
      <c r="G43" s="125"/>
      <c r="H43" s="125"/>
      <c r="I43" s="125"/>
      <c r="J43" s="125"/>
      <c r="K43" s="125"/>
      <c r="L43" s="125"/>
      <c r="M43" s="125"/>
      <c r="N43" s="125"/>
      <c r="O43" s="125"/>
      <c r="P43" s="125"/>
      <c r="Q43" s="125"/>
      <c r="R43" s="125"/>
      <c r="S43" s="189"/>
      <c r="T43" s="213"/>
      <c r="U43" s="189"/>
      <c r="V43" s="189"/>
      <c r="W43" s="214"/>
      <c r="X43" s="189"/>
      <c r="Y43" s="215"/>
      <c r="Z43" s="695">
        <v>1996</v>
      </c>
      <c r="AA43" s="695">
        <v>2001</v>
      </c>
      <c r="AB43" s="696">
        <v>2011</v>
      </c>
      <c r="AC43" s="691">
        <v>1996</v>
      </c>
      <c r="AD43" s="691">
        <v>2001</v>
      </c>
      <c r="AE43" s="691">
        <v>2011</v>
      </c>
      <c r="AF43" s="697">
        <v>1996</v>
      </c>
      <c r="AG43" s="695">
        <v>2001</v>
      </c>
      <c r="AH43" s="696">
        <v>2011</v>
      </c>
      <c r="AI43" s="691">
        <v>1996</v>
      </c>
      <c r="AJ43" s="691">
        <v>2001</v>
      </c>
      <c r="AK43" s="691">
        <v>2011</v>
      </c>
      <c r="AL43" s="697">
        <v>1996</v>
      </c>
      <c r="AM43" s="695">
        <v>2001</v>
      </c>
      <c r="AN43" s="696">
        <v>2011</v>
      </c>
      <c r="AO43" s="691">
        <v>1996</v>
      </c>
      <c r="AP43" s="691">
        <v>2001</v>
      </c>
      <c r="AQ43" s="691">
        <v>2011</v>
      </c>
      <c r="AR43" s="697">
        <v>1996</v>
      </c>
      <c r="AS43" s="695">
        <v>2001</v>
      </c>
      <c r="AT43" s="696">
        <v>2011</v>
      </c>
      <c r="AU43" s="691">
        <v>1996</v>
      </c>
      <c r="AV43" s="691">
        <v>2001</v>
      </c>
      <c r="AW43" s="691">
        <v>2011</v>
      </c>
      <c r="AX43" s="678">
        <v>1996</v>
      </c>
      <c r="AY43" s="677">
        <v>2001</v>
      </c>
      <c r="AZ43" s="679">
        <v>2011</v>
      </c>
    </row>
    <row r="44" spans="1:52" ht="36" x14ac:dyDescent="0.2">
      <c r="A44" s="123">
        <v>5</v>
      </c>
      <c r="B44" s="13" t="s">
        <v>67</v>
      </c>
      <c r="C44" s="122" t="s">
        <v>361</v>
      </c>
      <c r="D44" s="122" t="s">
        <v>346</v>
      </c>
      <c r="E44" s="122" t="s">
        <v>347</v>
      </c>
      <c r="F44" s="122"/>
      <c r="G44" s="122" t="s">
        <v>279</v>
      </c>
      <c r="H44" s="122" t="s">
        <v>362</v>
      </c>
      <c r="I44" s="122" t="s">
        <v>363</v>
      </c>
      <c r="J44" s="122" t="s">
        <v>364</v>
      </c>
      <c r="K44" s="122" t="s">
        <v>299</v>
      </c>
      <c r="L44" s="122"/>
      <c r="M44" s="122" t="s">
        <v>285</v>
      </c>
      <c r="N44" s="122" t="s">
        <v>286</v>
      </c>
      <c r="O44" s="122" t="s">
        <v>350</v>
      </c>
      <c r="P44" s="122" t="s">
        <v>365</v>
      </c>
      <c r="Q44" s="122" t="s">
        <v>289</v>
      </c>
      <c r="R44" s="122"/>
      <c r="S44" s="189" t="s">
        <v>794</v>
      </c>
      <c r="T44" s="213" t="s">
        <v>794</v>
      </c>
      <c r="U44" s="189"/>
      <c r="V44" s="189"/>
      <c r="W44" s="214"/>
      <c r="X44" s="189"/>
      <c r="Y44" s="215"/>
      <c r="Z44" s="482" t="s">
        <v>26</v>
      </c>
      <c r="AA44" s="481">
        <v>89728</v>
      </c>
      <c r="AB44" s="625">
        <v>183247</v>
      </c>
      <c r="AC44" s="482" t="s">
        <v>26</v>
      </c>
      <c r="AD44" s="481">
        <v>94908</v>
      </c>
      <c r="AE44" s="481">
        <v>182822</v>
      </c>
      <c r="AF44" s="624" t="s">
        <v>26</v>
      </c>
      <c r="AG44" s="481">
        <v>56220</v>
      </c>
      <c r="AH44" s="625">
        <v>112830</v>
      </c>
      <c r="AI44" s="482" t="s">
        <v>26</v>
      </c>
      <c r="AJ44" s="481">
        <v>53904</v>
      </c>
      <c r="AK44" s="481">
        <v>105602</v>
      </c>
      <c r="AL44" s="624" t="s">
        <v>26</v>
      </c>
      <c r="AM44" s="483">
        <v>67605</v>
      </c>
      <c r="AN44" s="484">
        <v>125688</v>
      </c>
      <c r="AO44" s="482" t="s">
        <v>26</v>
      </c>
      <c r="AP44" s="483">
        <v>53904</v>
      </c>
      <c r="AQ44" s="483">
        <v>105602</v>
      </c>
      <c r="AR44" s="624" t="s">
        <v>26</v>
      </c>
      <c r="AS44" s="481">
        <v>39917</v>
      </c>
      <c r="AT44" s="625">
        <v>97554</v>
      </c>
      <c r="AU44" s="482" t="s">
        <v>26</v>
      </c>
      <c r="AV44" s="483">
        <v>43125</v>
      </c>
      <c r="AW44" s="483">
        <v>105232</v>
      </c>
      <c r="AX44" s="624" t="s">
        <v>26</v>
      </c>
      <c r="AY44" s="483">
        <v>50178</v>
      </c>
      <c r="AZ44" s="484">
        <v>108926</v>
      </c>
    </row>
    <row r="45" spans="1:52" s="16" customFormat="1" ht="72" x14ac:dyDescent="0.2">
      <c r="A45" s="10">
        <v>6</v>
      </c>
      <c r="B45" s="131" t="s">
        <v>34</v>
      </c>
      <c r="C45" s="132" t="s">
        <v>903</v>
      </c>
      <c r="D45" s="132" t="s">
        <v>346</v>
      </c>
      <c r="E45" s="132" t="s">
        <v>347</v>
      </c>
      <c r="F45" s="132"/>
      <c r="G45" s="132" t="s">
        <v>306</v>
      </c>
      <c r="H45" s="132" t="s">
        <v>904</v>
      </c>
      <c r="I45" s="132" t="s">
        <v>902</v>
      </c>
      <c r="J45" s="132" t="s">
        <v>350</v>
      </c>
      <c r="K45" s="132" t="s">
        <v>350</v>
      </c>
      <c r="L45" s="132"/>
      <c r="M45" s="132" t="s">
        <v>285</v>
      </c>
      <c r="N45" s="132" t="s">
        <v>286</v>
      </c>
      <c r="O45" s="132" t="s">
        <v>350</v>
      </c>
      <c r="P45" s="132" t="s">
        <v>365</v>
      </c>
      <c r="Q45" s="132" t="s">
        <v>289</v>
      </c>
      <c r="R45" s="132" t="s">
        <v>926</v>
      </c>
      <c r="S45" s="189" t="s">
        <v>794</v>
      </c>
      <c r="T45" s="213" t="s">
        <v>794</v>
      </c>
      <c r="U45" s="189"/>
      <c r="V45" s="189"/>
      <c r="W45" s="214"/>
      <c r="X45" s="189"/>
      <c r="Y45" s="215"/>
      <c r="Z45" s="485">
        <v>2008</v>
      </c>
      <c r="AA45" s="486">
        <v>2009</v>
      </c>
      <c r="AB45" s="486">
        <v>2010</v>
      </c>
      <c r="AC45" s="486">
        <v>2011</v>
      </c>
      <c r="AD45" s="486">
        <v>2012</v>
      </c>
      <c r="AE45" s="486">
        <v>2013</v>
      </c>
      <c r="AF45" s="486">
        <v>2014</v>
      </c>
      <c r="AG45" s="4"/>
      <c r="AH45" s="4"/>
      <c r="AI45" s="4"/>
      <c r="AJ45" s="4"/>
      <c r="AK45" s="4"/>
      <c r="AL45" s="4"/>
      <c r="AM45" s="4"/>
      <c r="AN45" s="4"/>
      <c r="AO45" s="4"/>
      <c r="AP45" s="4"/>
      <c r="AQ45" s="4"/>
      <c r="AR45" s="4"/>
      <c r="AS45" s="4"/>
      <c r="AT45" s="4"/>
      <c r="AU45" s="4"/>
      <c r="AV45" s="4"/>
      <c r="AW45" s="4"/>
      <c r="AX45" s="4"/>
      <c r="AY45" s="4"/>
      <c r="AZ45" s="477"/>
    </row>
    <row r="46" spans="1:52" s="16" customFormat="1" ht="15.75" x14ac:dyDescent="0.2">
      <c r="A46" s="10"/>
      <c r="B46" s="269" t="s">
        <v>3</v>
      </c>
      <c r="C46" s="132"/>
      <c r="D46" s="132"/>
      <c r="E46" s="132"/>
      <c r="F46" s="132"/>
      <c r="G46" s="132"/>
      <c r="H46" s="132"/>
      <c r="I46" s="132"/>
      <c r="J46" s="132"/>
      <c r="K46" s="132"/>
      <c r="L46" s="132"/>
      <c r="M46" s="132"/>
      <c r="N46" s="132"/>
      <c r="O46" s="132"/>
      <c r="P46" s="132"/>
      <c r="Q46" s="132"/>
      <c r="R46" s="132"/>
      <c r="S46" s="189"/>
      <c r="T46" s="213"/>
      <c r="U46" s="189"/>
      <c r="V46" s="189"/>
      <c r="W46" s="214"/>
      <c r="X46" s="189"/>
      <c r="Y46" s="215"/>
      <c r="Z46" s="487">
        <v>80.400000000000006</v>
      </c>
      <c r="AA46" s="488">
        <v>86</v>
      </c>
      <c r="AB46" s="488">
        <v>89.3</v>
      </c>
      <c r="AC46" s="488">
        <v>93.2</v>
      </c>
      <c r="AD46" s="488">
        <v>98.1</v>
      </c>
      <c r="AE46" s="488">
        <v>103.7</v>
      </c>
      <c r="AF46" s="488">
        <v>107.8</v>
      </c>
      <c r="AG46" s="4"/>
      <c r="AH46" s="4"/>
      <c r="AI46" s="4"/>
      <c r="AJ46" s="4"/>
      <c r="AK46" s="4"/>
      <c r="AL46" s="4"/>
      <c r="AM46" s="4"/>
      <c r="AN46" s="4"/>
      <c r="AO46" s="4"/>
      <c r="AP46" s="4"/>
      <c r="AQ46" s="4"/>
      <c r="AR46" s="4"/>
      <c r="AS46" s="4"/>
      <c r="AT46" s="4"/>
      <c r="AU46" s="4"/>
      <c r="AV46" s="4"/>
      <c r="AW46" s="4"/>
      <c r="AX46" s="4"/>
      <c r="AY46" s="4"/>
      <c r="AZ46" s="477"/>
    </row>
    <row r="47" spans="1:52" s="16" customFormat="1" ht="15.75" x14ac:dyDescent="0.2">
      <c r="A47" s="10"/>
      <c r="B47" s="269" t="s">
        <v>4</v>
      </c>
      <c r="C47" s="132"/>
      <c r="D47" s="132"/>
      <c r="E47" s="132"/>
      <c r="F47" s="132"/>
      <c r="G47" s="132"/>
      <c r="H47" s="132"/>
      <c r="I47" s="132"/>
      <c r="J47" s="132"/>
      <c r="K47" s="132"/>
      <c r="L47" s="132"/>
      <c r="M47" s="132"/>
      <c r="N47" s="132"/>
      <c r="O47" s="132"/>
      <c r="P47" s="132"/>
      <c r="Q47" s="132"/>
      <c r="R47" s="132"/>
      <c r="S47" s="189"/>
      <c r="T47" s="213"/>
      <c r="U47" s="189"/>
      <c r="V47" s="189"/>
      <c r="W47" s="214"/>
      <c r="X47" s="189"/>
      <c r="Y47" s="215"/>
      <c r="Z47" s="487">
        <v>78.900000000000006</v>
      </c>
      <c r="AA47" s="488">
        <v>84.7</v>
      </c>
      <c r="AB47" s="488">
        <v>88.8</v>
      </c>
      <c r="AC47" s="488">
        <v>92.8</v>
      </c>
      <c r="AD47" s="488">
        <v>98</v>
      </c>
      <c r="AE47" s="488">
        <v>104.2</v>
      </c>
      <c r="AF47" s="16">
        <v>110</v>
      </c>
      <c r="AG47" s="4"/>
      <c r="AH47" s="4"/>
      <c r="AI47" s="4"/>
      <c r="AJ47" s="4"/>
      <c r="AK47" s="4"/>
      <c r="AL47" s="4"/>
      <c r="AM47" s="4"/>
      <c r="AN47" s="4"/>
      <c r="AO47" s="4"/>
      <c r="AP47" s="4"/>
      <c r="AQ47" s="4"/>
      <c r="AR47" s="4"/>
      <c r="AS47" s="4"/>
      <c r="AT47" s="4"/>
      <c r="AU47" s="4"/>
      <c r="AV47" s="4"/>
      <c r="AW47" s="4"/>
      <c r="AX47" s="4"/>
      <c r="AY47" s="4"/>
      <c r="AZ47" s="477"/>
    </row>
    <row r="48" spans="1:52" s="16" customFormat="1" ht="15.75" x14ac:dyDescent="0.2">
      <c r="A48" s="10"/>
      <c r="B48" s="269" t="s">
        <v>5</v>
      </c>
      <c r="C48" s="132"/>
      <c r="D48" s="132"/>
      <c r="E48" s="132"/>
      <c r="F48" s="132"/>
      <c r="G48" s="132"/>
      <c r="H48" s="132"/>
      <c r="I48" s="132"/>
      <c r="J48" s="132"/>
      <c r="K48" s="132"/>
      <c r="L48" s="132"/>
      <c r="M48" s="132"/>
      <c r="N48" s="132"/>
      <c r="O48" s="132"/>
      <c r="P48" s="132"/>
      <c r="Q48" s="132"/>
      <c r="R48" s="132"/>
      <c r="S48" s="189"/>
      <c r="T48" s="213"/>
      <c r="U48" s="189"/>
      <c r="V48" s="189"/>
      <c r="W48" s="214"/>
      <c r="X48" s="189"/>
      <c r="Y48" s="215"/>
      <c r="Z48" s="487">
        <v>79.2</v>
      </c>
      <c r="AA48" s="488">
        <v>84.7</v>
      </c>
      <c r="AB48" s="488">
        <v>88.7</v>
      </c>
      <c r="AC48" s="488">
        <v>92.9</v>
      </c>
      <c r="AD48" s="488">
        <v>97.8</v>
      </c>
      <c r="AE48" s="488">
        <v>103.1</v>
      </c>
      <c r="AF48" s="488">
        <v>109.4</v>
      </c>
      <c r="AG48" s="4"/>
      <c r="AH48" s="4"/>
      <c r="AI48" s="4"/>
      <c r="AJ48" s="4"/>
      <c r="AK48" s="4"/>
      <c r="AL48" s="4"/>
      <c r="AM48" s="4"/>
      <c r="AN48" s="4"/>
      <c r="AO48" s="4"/>
      <c r="AP48" s="4"/>
      <c r="AQ48" s="4"/>
      <c r="AR48" s="4"/>
      <c r="AS48" s="4"/>
      <c r="AT48" s="4"/>
      <c r="AU48" s="4"/>
      <c r="AV48" s="4"/>
      <c r="AW48" s="4"/>
      <c r="AX48" s="4"/>
      <c r="AY48" s="4"/>
      <c r="AZ48" s="477"/>
    </row>
    <row r="49" spans="1:52" s="16" customFormat="1" ht="15.75" x14ac:dyDescent="0.2">
      <c r="A49" s="10"/>
      <c r="B49" s="269" t="s">
        <v>251</v>
      </c>
      <c r="C49" s="132"/>
      <c r="D49" s="132"/>
      <c r="E49" s="132"/>
      <c r="F49" s="132"/>
      <c r="G49" s="132"/>
      <c r="H49" s="132"/>
      <c r="I49" s="132"/>
      <c r="J49" s="132"/>
      <c r="K49" s="132"/>
      <c r="L49" s="132"/>
      <c r="M49" s="132"/>
      <c r="N49" s="132"/>
      <c r="O49" s="132"/>
      <c r="P49" s="132"/>
      <c r="Q49" s="132"/>
      <c r="R49" s="132"/>
      <c r="S49" s="189"/>
      <c r="T49" s="213"/>
      <c r="U49" s="189"/>
      <c r="V49" s="189"/>
      <c r="W49" s="214"/>
      <c r="X49" s="189"/>
      <c r="Y49" s="215"/>
      <c r="Z49" s="487">
        <v>80.099999999999994</v>
      </c>
      <c r="AA49" s="488">
        <v>85.8</v>
      </c>
      <c r="AB49" s="488">
        <v>88.5</v>
      </c>
      <c r="AC49" s="488">
        <v>92.4</v>
      </c>
      <c r="AD49" s="488">
        <v>97.7</v>
      </c>
      <c r="AE49" s="488">
        <v>103.4</v>
      </c>
      <c r="AF49" s="488">
        <v>109.6</v>
      </c>
      <c r="AG49" s="4"/>
      <c r="AH49" s="4"/>
      <c r="AI49" s="4"/>
      <c r="AJ49" s="4"/>
      <c r="AK49" s="4"/>
      <c r="AL49" s="4"/>
      <c r="AM49" s="4"/>
      <c r="AN49" s="4"/>
      <c r="AO49" s="4"/>
      <c r="AP49" s="4"/>
      <c r="AQ49" s="4"/>
      <c r="AR49" s="4"/>
      <c r="AS49" s="4"/>
      <c r="AT49" s="4"/>
      <c r="AU49" s="4"/>
      <c r="AV49" s="4"/>
      <c r="AW49" s="4"/>
      <c r="AX49" s="4"/>
      <c r="AY49" s="4"/>
      <c r="AZ49" s="477"/>
    </row>
    <row r="50" spans="1:52" s="16" customFormat="1" ht="15.75" x14ac:dyDescent="0.2">
      <c r="A50" s="10"/>
      <c r="B50" s="269" t="s">
        <v>252</v>
      </c>
      <c r="C50" s="132"/>
      <c r="D50" s="132"/>
      <c r="E50" s="132"/>
      <c r="F50" s="132"/>
      <c r="G50" s="132"/>
      <c r="H50" s="132"/>
      <c r="I50" s="132"/>
      <c r="J50" s="132"/>
      <c r="K50" s="132"/>
      <c r="L50" s="132"/>
      <c r="M50" s="132"/>
      <c r="N50" s="132"/>
      <c r="O50" s="132"/>
      <c r="P50" s="132"/>
      <c r="Q50" s="132"/>
      <c r="R50" s="132"/>
      <c r="S50" s="189"/>
      <c r="T50" s="213"/>
      <c r="U50" s="189"/>
      <c r="V50" s="189"/>
      <c r="W50" s="214"/>
      <c r="X50" s="189"/>
      <c r="Y50" s="215"/>
      <c r="Z50" s="487">
        <v>78.2</v>
      </c>
      <c r="AA50" s="488">
        <v>83.2</v>
      </c>
      <c r="AB50" s="488">
        <v>87.2</v>
      </c>
      <c r="AC50" s="488">
        <v>92.2</v>
      </c>
      <c r="AD50" s="488">
        <v>97.7</v>
      </c>
      <c r="AE50" s="488">
        <v>102.9</v>
      </c>
      <c r="AF50" s="488">
        <v>109.3</v>
      </c>
      <c r="AG50" s="4"/>
      <c r="AH50" s="4"/>
      <c r="AI50" s="4"/>
      <c r="AJ50" s="4"/>
      <c r="AK50" s="4"/>
      <c r="AL50" s="4"/>
      <c r="AM50" s="4"/>
      <c r="AN50" s="4"/>
      <c r="AO50" s="4"/>
      <c r="AP50" s="4"/>
      <c r="AQ50" s="4"/>
      <c r="AR50" s="4"/>
      <c r="AS50" s="4"/>
      <c r="AT50" s="4"/>
      <c r="AU50" s="4"/>
      <c r="AV50" s="4"/>
      <c r="AW50" s="4"/>
      <c r="AX50" s="4"/>
      <c r="AY50" s="4"/>
      <c r="AZ50" s="477"/>
    </row>
    <row r="51" spans="1:52" s="16" customFormat="1" ht="15.75" x14ac:dyDescent="0.2">
      <c r="A51" s="10"/>
      <c r="B51" s="470" t="s">
        <v>6</v>
      </c>
      <c r="C51" s="132"/>
      <c r="D51" s="132"/>
      <c r="E51" s="132"/>
      <c r="F51" s="132"/>
      <c r="G51" s="132"/>
      <c r="H51" s="132"/>
      <c r="I51" s="132"/>
      <c r="J51" s="132"/>
      <c r="K51" s="132"/>
      <c r="L51" s="132"/>
      <c r="M51" s="132"/>
      <c r="N51" s="132"/>
      <c r="O51" s="132"/>
      <c r="P51" s="132"/>
      <c r="Q51" s="132"/>
      <c r="R51" s="132"/>
      <c r="S51" s="189"/>
      <c r="T51" s="213"/>
      <c r="U51" s="189"/>
      <c r="V51" s="189"/>
      <c r="W51" s="214"/>
      <c r="X51" s="189"/>
      <c r="Y51" s="215"/>
      <c r="Z51" s="487">
        <v>78.599999999999994</v>
      </c>
      <c r="AA51" s="488">
        <v>84.1</v>
      </c>
      <c r="AB51" s="488">
        <v>87.9</v>
      </c>
      <c r="AC51" s="488">
        <v>92.5</v>
      </c>
      <c r="AD51" s="488">
        <v>97.7</v>
      </c>
      <c r="AE51" s="488">
        <v>102.9</v>
      </c>
      <c r="AF51" s="488">
        <v>109.3</v>
      </c>
      <c r="AG51" s="4"/>
      <c r="AH51" s="4"/>
      <c r="AI51" s="4"/>
      <c r="AJ51" s="4"/>
      <c r="AK51" s="4"/>
      <c r="AL51" s="4"/>
      <c r="AM51" s="4"/>
      <c r="AN51" s="4"/>
      <c r="AO51" s="4"/>
      <c r="AP51" s="4"/>
      <c r="AQ51" s="4"/>
      <c r="AR51" s="4"/>
      <c r="AS51" s="4"/>
      <c r="AT51" s="4"/>
      <c r="AU51" s="4"/>
      <c r="AV51" s="4"/>
      <c r="AW51" s="4"/>
      <c r="AX51" s="4"/>
      <c r="AY51" s="4"/>
      <c r="AZ51" s="477"/>
    </row>
    <row r="52" spans="1:52" s="16" customFormat="1" ht="15.75" x14ac:dyDescent="0.2">
      <c r="A52" s="10"/>
      <c r="B52" s="375" t="s">
        <v>8</v>
      </c>
      <c r="C52" s="132"/>
      <c r="D52" s="132"/>
      <c r="E52" s="132"/>
      <c r="F52" s="132"/>
      <c r="G52" s="132"/>
      <c r="H52" s="132"/>
      <c r="I52" s="132"/>
      <c r="J52" s="132"/>
      <c r="K52" s="132"/>
      <c r="L52" s="132"/>
      <c r="M52" s="132"/>
      <c r="N52" s="132"/>
      <c r="O52" s="132"/>
      <c r="P52" s="132"/>
      <c r="Q52" s="132"/>
      <c r="R52" s="132"/>
      <c r="S52" s="189"/>
      <c r="T52" s="213"/>
      <c r="U52" s="189"/>
      <c r="V52" s="189"/>
      <c r="W52" s="214"/>
      <c r="X52" s="189"/>
      <c r="Y52" s="215"/>
      <c r="Z52" s="487">
        <v>78.8</v>
      </c>
      <c r="AA52" s="488">
        <v>84.3</v>
      </c>
      <c r="AB52" s="488">
        <v>87.9</v>
      </c>
      <c r="AC52" s="488">
        <v>92</v>
      </c>
      <c r="AD52" s="488">
        <v>97.7</v>
      </c>
      <c r="AE52" s="488">
        <v>103.8</v>
      </c>
      <c r="AF52" s="488">
        <v>110.2</v>
      </c>
      <c r="AG52" s="4"/>
      <c r="AH52" s="4"/>
      <c r="AI52" s="4"/>
      <c r="AJ52" s="4"/>
      <c r="AK52" s="4"/>
      <c r="AL52" s="4"/>
      <c r="AM52" s="4"/>
      <c r="AN52" s="4"/>
      <c r="AO52" s="4"/>
      <c r="AP52" s="4"/>
      <c r="AQ52" s="4"/>
      <c r="AR52" s="4"/>
      <c r="AS52" s="4"/>
      <c r="AT52" s="4"/>
      <c r="AU52" s="4"/>
      <c r="AV52" s="4"/>
      <c r="AW52" s="4"/>
      <c r="AX52" s="4"/>
      <c r="AY52" s="4"/>
      <c r="AZ52" s="477"/>
    </row>
    <row r="53" spans="1:52" s="16" customFormat="1" ht="15.75" x14ac:dyDescent="0.2">
      <c r="A53" s="10"/>
      <c r="B53" s="375" t="s">
        <v>7</v>
      </c>
      <c r="C53" s="132"/>
      <c r="D53" s="132"/>
      <c r="E53" s="132"/>
      <c r="F53" s="132"/>
      <c r="G53" s="132"/>
      <c r="H53" s="132"/>
      <c r="I53" s="132"/>
      <c r="J53" s="132"/>
      <c r="K53" s="132"/>
      <c r="L53" s="132"/>
      <c r="M53" s="132"/>
      <c r="N53" s="132"/>
      <c r="O53" s="132"/>
      <c r="P53" s="132"/>
      <c r="Q53" s="132"/>
      <c r="R53" s="132"/>
      <c r="S53" s="189"/>
      <c r="T53" s="213"/>
      <c r="U53" s="189"/>
      <c r="V53" s="189"/>
      <c r="W53" s="214"/>
      <c r="X53" s="189"/>
      <c r="Y53" s="215"/>
      <c r="Z53" s="487">
        <v>77.599999999999994</v>
      </c>
      <c r="AA53" s="488">
        <v>83.1</v>
      </c>
      <c r="AB53" s="488">
        <v>86.9</v>
      </c>
      <c r="AC53" s="488">
        <v>92.3</v>
      </c>
      <c r="AD53" s="488">
        <v>97.9</v>
      </c>
      <c r="AE53" s="488">
        <v>103.7</v>
      </c>
      <c r="AF53" s="488">
        <v>110.1</v>
      </c>
      <c r="AG53" s="4"/>
      <c r="AH53" s="4"/>
      <c r="AI53" s="4"/>
      <c r="AJ53" s="4"/>
      <c r="AK53" s="4"/>
      <c r="AL53" s="4"/>
      <c r="AM53" s="4"/>
      <c r="AN53" s="4"/>
      <c r="AO53" s="4"/>
      <c r="AP53" s="4"/>
      <c r="AQ53" s="4"/>
      <c r="AR53" s="4"/>
      <c r="AS53" s="4"/>
      <c r="AT53" s="4"/>
      <c r="AU53" s="4"/>
      <c r="AV53" s="4"/>
      <c r="AW53" s="4"/>
      <c r="AX53" s="4"/>
      <c r="AY53" s="4"/>
      <c r="AZ53" s="477"/>
    </row>
    <row r="54" spans="1:52" s="16" customFormat="1" ht="15.75" x14ac:dyDescent="0.2">
      <c r="A54" s="10"/>
      <c r="B54" s="247" t="s">
        <v>800</v>
      </c>
      <c r="C54" s="132"/>
      <c r="D54" s="132"/>
      <c r="E54" s="132"/>
      <c r="F54" s="132"/>
      <c r="G54" s="132"/>
      <c r="H54" s="132"/>
      <c r="I54" s="132"/>
      <c r="J54" s="132"/>
      <c r="K54" s="132"/>
      <c r="L54" s="132"/>
      <c r="M54" s="132"/>
      <c r="N54" s="132"/>
      <c r="O54" s="132"/>
      <c r="P54" s="132"/>
      <c r="Q54" s="132"/>
      <c r="R54" s="132"/>
      <c r="S54" s="189"/>
      <c r="T54" s="213"/>
      <c r="U54" s="189"/>
      <c r="V54" s="189"/>
      <c r="W54" s="214"/>
      <c r="X54" s="189"/>
      <c r="Y54" s="215"/>
      <c r="Z54" s="487">
        <v>78.599999999999994</v>
      </c>
      <c r="AA54" s="488">
        <v>84.1</v>
      </c>
      <c r="AB54" s="16">
        <v>87.4</v>
      </c>
      <c r="AC54" s="488">
        <v>92.2</v>
      </c>
      <c r="AD54" s="488">
        <v>97.7</v>
      </c>
      <c r="AE54" s="488">
        <v>103.7</v>
      </c>
      <c r="AF54" s="488">
        <v>110.1</v>
      </c>
      <c r="AG54" s="4"/>
      <c r="AH54" s="4"/>
      <c r="AI54" s="4"/>
      <c r="AJ54" s="4"/>
      <c r="AK54" s="4"/>
      <c r="AL54" s="4"/>
      <c r="AM54" s="4"/>
      <c r="AN54" s="4"/>
      <c r="AO54" s="4"/>
      <c r="AP54" s="4"/>
      <c r="AQ54" s="4"/>
      <c r="AR54" s="4"/>
      <c r="AS54" s="4"/>
      <c r="AT54" s="4"/>
      <c r="AU54" s="4"/>
      <c r="AV54" s="4"/>
      <c r="AW54" s="4"/>
      <c r="AX54" s="4"/>
      <c r="AY54" s="4"/>
      <c r="AZ54" s="477"/>
    </row>
    <row r="55" spans="1:52" s="16" customFormat="1" ht="15.75" x14ac:dyDescent="0.2">
      <c r="A55" s="10"/>
      <c r="B55" s="247"/>
      <c r="C55" s="132"/>
      <c r="D55" s="132"/>
      <c r="E55" s="132"/>
      <c r="F55" s="132"/>
      <c r="G55" s="132"/>
      <c r="H55" s="132"/>
      <c r="I55" s="132"/>
      <c r="J55" s="132"/>
      <c r="K55" s="132"/>
      <c r="L55" s="132"/>
      <c r="M55" s="132"/>
      <c r="N55" s="132"/>
      <c r="O55" s="132"/>
      <c r="P55" s="132"/>
      <c r="Q55" s="132"/>
      <c r="R55" s="132"/>
      <c r="S55" s="189"/>
      <c r="T55" s="213"/>
      <c r="U55" s="189"/>
      <c r="V55" s="189"/>
      <c r="W55" s="214"/>
      <c r="X55" s="189"/>
      <c r="Y55" s="215"/>
      <c r="Z55" s="487"/>
      <c r="AA55" s="488"/>
      <c r="AC55" s="488"/>
      <c r="AD55" s="488"/>
      <c r="AE55" s="488"/>
      <c r="AF55" s="488"/>
      <c r="AG55" s="4"/>
      <c r="AH55" s="4"/>
      <c r="AI55" s="4"/>
      <c r="AJ55" s="4"/>
      <c r="AK55" s="4"/>
      <c r="AL55" s="4"/>
      <c r="AM55" s="4"/>
      <c r="AN55" s="4"/>
      <c r="AO55" s="4"/>
      <c r="AP55" s="4"/>
      <c r="AQ55" s="4"/>
      <c r="AR55" s="4"/>
      <c r="AS55" s="4"/>
      <c r="AT55" s="4"/>
      <c r="AU55" s="4"/>
      <c r="AV55" s="4"/>
      <c r="AW55" s="4"/>
      <c r="AX55" s="4"/>
      <c r="AY55" s="4"/>
      <c r="AZ55" s="477"/>
    </row>
    <row r="56" spans="1:52" s="16" customFormat="1" ht="15.75" x14ac:dyDescent="0.2">
      <c r="A56" s="10"/>
      <c r="B56" s="131"/>
      <c r="C56" s="132"/>
      <c r="D56" s="132"/>
      <c r="E56" s="132"/>
      <c r="F56" s="132"/>
      <c r="G56" s="132"/>
      <c r="H56" s="132"/>
      <c r="I56" s="132"/>
      <c r="J56" s="132"/>
      <c r="K56" s="132"/>
      <c r="L56" s="132"/>
      <c r="M56" s="132"/>
      <c r="N56" s="132"/>
      <c r="O56" s="132"/>
      <c r="P56" s="132"/>
      <c r="Q56" s="132"/>
      <c r="R56" s="132"/>
      <c r="S56" s="189"/>
      <c r="T56" s="213"/>
      <c r="U56" s="189"/>
      <c r="V56" s="189"/>
      <c r="W56" s="214"/>
      <c r="X56" s="189"/>
      <c r="Y56" s="215"/>
      <c r="Z56" s="834" t="s">
        <v>3</v>
      </c>
      <c r="AA56" s="824"/>
      <c r="AB56" s="825"/>
      <c r="AC56" s="823" t="s">
        <v>4</v>
      </c>
      <c r="AD56" s="824"/>
      <c r="AE56" s="825"/>
      <c r="AF56" s="823" t="s">
        <v>5</v>
      </c>
      <c r="AG56" s="824"/>
      <c r="AH56" s="825"/>
      <c r="AI56" s="823" t="s">
        <v>251</v>
      </c>
      <c r="AJ56" s="824"/>
      <c r="AK56" s="825"/>
      <c r="AL56" s="823" t="s">
        <v>252</v>
      </c>
      <c r="AM56" s="824"/>
      <c r="AN56" s="825"/>
      <c r="AO56" s="823" t="s">
        <v>6</v>
      </c>
      <c r="AP56" s="824"/>
      <c r="AQ56" s="825"/>
      <c r="AR56" s="824" t="s">
        <v>8</v>
      </c>
      <c r="AS56" s="824"/>
      <c r="AT56" s="825"/>
      <c r="AU56" s="824" t="s">
        <v>7</v>
      </c>
      <c r="AV56" s="824"/>
      <c r="AW56" s="824"/>
      <c r="AX56" s="832" t="s">
        <v>799</v>
      </c>
      <c r="AY56" s="832"/>
      <c r="AZ56" s="832"/>
    </row>
    <row r="57" spans="1:52" s="16" customFormat="1" ht="15.75" x14ac:dyDescent="0.2">
      <c r="A57" s="10"/>
      <c r="B57" s="131"/>
      <c r="C57" s="132"/>
      <c r="D57" s="132"/>
      <c r="E57" s="132"/>
      <c r="F57" s="132"/>
      <c r="G57" s="132"/>
      <c r="H57" s="132"/>
      <c r="I57" s="132"/>
      <c r="J57" s="132"/>
      <c r="K57" s="132"/>
      <c r="L57" s="132"/>
      <c r="M57" s="132"/>
      <c r="N57" s="132"/>
      <c r="O57" s="132"/>
      <c r="P57" s="132"/>
      <c r="Q57" s="132"/>
      <c r="R57" s="132"/>
      <c r="S57" s="189"/>
      <c r="T57" s="213"/>
      <c r="U57" s="189"/>
      <c r="V57" s="189"/>
      <c r="W57" s="214"/>
      <c r="X57" s="189"/>
      <c r="Y57" s="215"/>
      <c r="Z57" s="697">
        <v>1996</v>
      </c>
      <c r="AA57" s="695">
        <v>2001</v>
      </c>
      <c r="AB57" s="696">
        <v>2011</v>
      </c>
      <c r="AC57" s="698">
        <v>1996</v>
      </c>
      <c r="AD57" s="691">
        <v>2001</v>
      </c>
      <c r="AE57" s="686">
        <v>2011</v>
      </c>
      <c r="AF57" s="697">
        <v>1996</v>
      </c>
      <c r="AG57" s="695">
        <v>2001</v>
      </c>
      <c r="AH57" s="696">
        <v>2011</v>
      </c>
      <c r="AI57" s="698">
        <v>1996</v>
      </c>
      <c r="AJ57" s="691">
        <v>2001</v>
      </c>
      <c r="AK57" s="686">
        <v>2011</v>
      </c>
      <c r="AL57" s="697">
        <v>1996</v>
      </c>
      <c r="AM57" s="695">
        <v>2001</v>
      </c>
      <c r="AN57" s="696">
        <v>2011</v>
      </c>
      <c r="AO57" s="698">
        <v>1996</v>
      </c>
      <c r="AP57" s="691">
        <v>2001</v>
      </c>
      <c r="AQ57" s="686">
        <v>2011</v>
      </c>
      <c r="AR57" s="695">
        <v>1996</v>
      </c>
      <c r="AS57" s="695">
        <v>2001</v>
      </c>
      <c r="AT57" s="696">
        <v>2011</v>
      </c>
      <c r="AU57" s="691">
        <v>1996</v>
      </c>
      <c r="AV57" s="691">
        <v>2001</v>
      </c>
      <c r="AW57" s="696">
        <v>2011</v>
      </c>
      <c r="AX57" s="677">
        <v>1996</v>
      </c>
      <c r="AY57" s="677">
        <v>2001</v>
      </c>
      <c r="AZ57" s="679">
        <v>2011</v>
      </c>
    </row>
    <row r="58" spans="1:52" ht="36" x14ac:dyDescent="0.2">
      <c r="A58" s="123">
        <v>7</v>
      </c>
      <c r="B58" s="131" t="s">
        <v>35</v>
      </c>
      <c r="C58" s="132" t="s">
        <v>366</v>
      </c>
      <c r="D58" s="132" t="s">
        <v>346</v>
      </c>
      <c r="E58" s="132" t="s">
        <v>367</v>
      </c>
      <c r="F58" s="132"/>
      <c r="G58" s="132" t="s">
        <v>279</v>
      </c>
      <c r="H58" s="132" t="s">
        <v>362</v>
      </c>
      <c r="I58" s="132" t="s">
        <v>363</v>
      </c>
      <c r="J58" s="132" t="s">
        <v>364</v>
      </c>
      <c r="K58" s="132" t="s">
        <v>299</v>
      </c>
      <c r="L58" s="132"/>
      <c r="M58" s="132" t="s">
        <v>285</v>
      </c>
      <c r="N58" s="132" t="s">
        <v>286</v>
      </c>
      <c r="O58" s="132" t="s">
        <v>350</v>
      </c>
      <c r="P58" s="132" t="s">
        <v>293</v>
      </c>
      <c r="Q58" s="132" t="s">
        <v>289</v>
      </c>
      <c r="R58" s="132" t="s">
        <v>932</v>
      </c>
      <c r="S58" s="189" t="s">
        <v>794</v>
      </c>
      <c r="T58" s="213" t="s">
        <v>794</v>
      </c>
      <c r="U58" s="189"/>
      <c r="V58" s="189"/>
      <c r="W58" s="214"/>
      <c r="X58" s="189"/>
      <c r="Y58" s="215"/>
      <c r="Z58" s="327">
        <v>790060.639360014</v>
      </c>
      <c r="AA58" s="328">
        <v>1180320.396642827</v>
      </c>
      <c r="AB58" s="583">
        <v>2216490</v>
      </c>
      <c r="AC58" s="629">
        <v>459964.18714143033</v>
      </c>
      <c r="AD58" s="328">
        <v>688637.69758270634</v>
      </c>
      <c r="AE58" s="584">
        <v>1424593</v>
      </c>
      <c r="AF58" s="629">
        <v>248122.31891041802</v>
      </c>
      <c r="AG58" s="328">
        <v>433710.30508263799</v>
      </c>
      <c r="AH58" s="584">
        <v>1700228</v>
      </c>
      <c r="AI58" s="629">
        <v>584520.98776617204</v>
      </c>
      <c r="AJ58" s="328">
        <v>909564.60815146798</v>
      </c>
      <c r="AK58" s="584">
        <v>1442593</v>
      </c>
      <c r="AL58" s="629">
        <v>596187.00770800491</v>
      </c>
      <c r="AM58" s="328">
        <v>882319.68370618299</v>
      </c>
      <c r="AN58" s="584">
        <v>1582452</v>
      </c>
      <c r="AO58" s="629">
        <v>174043.97310805699</v>
      </c>
      <c r="AP58" s="328">
        <v>272888.58836254198</v>
      </c>
      <c r="AQ58" s="584">
        <v>457384</v>
      </c>
      <c r="AR58" s="328">
        <v>184705.4357054815</v>
      </c>
      <c r="AS58" s="328">
        <v>279956.48892496002</v>
      </c>
      <c r="AT58" s="584">
        <v>285223</v>
      </c>
      <c r="AU58" s="328">
        <v>161082.42482878838</v>
      </c>
      <c r="AV58" s="328">
        <v>229018.404246444</v>
      </c>
      <c r="AW58" s="584">
        <v>292971</v>
      </c>
      <c r="AX58" s="328">
        <v>119602.9706416667</v>
      </c>
      <c r="AY58" s="328">
        <v>169845.2409847182</v>
      </c>
      <c r="AZ58" s="329">
        <v>173386.17289931019</v>
      </c>
    </row>
    <row r="59" spans="1:52" s="623" customFormat="1" ht="84" x14ac:dyDescent="0.2">
      <c r="A59" s="611">
        <v>8</v>
      </c>
      <c r="B59" s="612" t="s">
        <v>36</v>
      </c>
      <c r="C59" s="613" t="s">
        <v>368</v>
      </c>
      <c r="D59" s="613" t="s">
        <v>346</v>
      </c>
      <c r="E59" s="613" t="s">
        <v>367</v>
      </c>
      <c r="F59" s="613"/>
      <c r="G59" s="613" t="s">
        <v>279</v>
      </c>
      <c r="H59" s="613" t="s">
        <v>875</v>
      </c>
      <c r="I59" s="613" t="s">
        <v>363</v>
      </c>
      <c r="J59" s="613" t="s">
        <v>364</v>
      </c>
      <c r="K59" s="613" t="s">
        <v>299</v>
      </c>
      <c r="L59" s="613"/>
      <c r="M59" s="613" t="s">
        <v>285</v>
      </c>
      <c r="N59" s="613" t="s">
        <v>286</v>
      </c>
      <c r="O59" s="613" t="s">
        <v>350</v>
      </c>
      <c r="P59" s="613" t="s">
        <v>293</v>
      </c>
      <c r="Q59" s="613" t="s">
        <v>293</v>
      </c>
      <c r="R59" s="613" t="s">
        <v>975</v>
      </c>
      <c r="S59" s="614" t="s">
        <v>794</v>
      </c>
      <c r="T59" s="615" t="s">
        <v>794</v>
      </c>
      <c r="U59" s="614"/>
      <c r="V59" s="614"/>
      <c r="W59" s="616"/>
      <c r="X59" s="614"/>
      <c r="Y59" s="617"/>
      <c r="Z59" s="618">
        <v>1.38E-2</v>
      </c>
      <c r="AA59" s="619">
        <v>1.37E-2</v>
      </c>
      <c r="AB59" s="626">
        <v>1.4200000000000001E-2</v>
      </c>
      <c r="AC59" s="630">
        <v>1.46E-2</v>
      </c>
      <c r="AD59" s="620">
        <v>1.4800000000000001E-2</v>
      </c>
      <c r="AE59" s="626">
        <v>1.4800000000000001E-2</v>
      </c>
      <c r="AF59" s="630">
        <v>1.5100000000000001E-2</v>
      </c>
      <c r="AG59" s="620">
        <v>1.4999999999999999E-2</v>
      </c>
      <c r="AH59" s="626">
        <v>1.5299999999999999E-2</v>
      </c>
      <c r="AI59" s="630">
        <v>1.5599999999999999E-2</v>
      </c>
      <c r="AJ59" s="620">
        <v>1.54E-2</v>
      </c>
      <c r="AK59" s="626">
        <v>1.6899999999999998E-2</v>
      </c>
      <c r="AL59" s="630">
        <v>1.41E-2</v>
      </c>
      <c r="AM59" s="620">
        <v>1.4E-2</v>
      </c>
      <c r="AN59" s="626">
        <v>1.44E-2</v>
      </c>
      <c r="AO59" s="630">
        <v>1.67E-2</v>
      </c>
      <c r="AP59" s="620">
        <v>1.6400000000000001E-2</v>
      </c>
      <c r="AQ59" s="626">
        <v>1.7299999999999999E-2</v>
      </c>
      <c r="AR59" s="620">
        <v>1.67E-2</v>
      </c>
      <c r="AS59" s="620">
        <v>1.61E-2</v>
      </c>
      <c r="AT59" s="626">
        <v>1.7899999999999999E-2</v>
      </c>
      <c r="AU59" s="619">
        <v>1.6E-2</v>
      </c>
      <c r="AV59" s="620">
        <v>1.6500000000000001E-2</v>
      </c>
      <c r="AW59" s="626">
        <v>1.7299999999999999E-2</v>
      </c>
      <c r="AX59" s="621"/>
      <c r="AY59" s="621"/>
      <c r="AZ59" s="622"/>
    </row>
    <row r="60" spans="1:52" s="339" customFormat="1" ht="36" x14ac:dyDescent="0.2">
      <c r="A60" s="331">
        <v>9</v>
      </c>
      <c r="B60" s="553" t="s">
        <v>37</v>
      </c>
      <c r="C60" s="554" t="s">
        <v>369</v>
      </c>
      <c r="D60" s="554" t="s">
        <v>346</v>
      </c>
      <c r="E60" s="554" t="s">
        <v>367</v>
      </c>
      <c r="F60" s="554"/>
      <c r="G60" s="554" t="s">
        <v>279</v>
      </c>
      <c r="H60" s="554" t="s">
        <v>874</v>
      </c>
      <c r="I60" s="554" t="s">
        <v>363</v>
      </c>
      <c r="J60" s="554" t="s">
        <v>364</v>
      </c>
      <c r="K60" s="554" t="s">
        <v>299</v>
      </c>
      <c r="L60" s="554"/>
      <c r="M60" s="554" t="s">
        <v>285</v>
      </c>
      <c r="N60" s="554" t="s">
        <v>286</v>
      </c>
      <c r="O60" s="554" t="s">
        <v>350</v>
      </c>
      <c r="P60" s="554" t="s">
        <v>370</v>
      </c>
      <c r="Q60" s="554" t="s">
        <v>289</v>
      </c>
      <c r="R60" s="554"/>
      <c r="S60" s="333"/>
      <c r="T60" s="334" t="s">
        <v>794</v>
      </c>
      <c r="U60" s="333"/>
      <c r="V60" s="333"/>
      <c r="W60" s="335"/>
      <c r="X60" s="333"/>
      <c r="Y60" s="340"/>
      <c r="Z60" s="555">
        <v>926590</v>
      </c>
      <c r="AA60" s="55">
        <v>1082758</v>
      </c>
      <c r="AB60" s="436">
        <v>1696520</v>
      </c>
      <c r="AC60" s="631">
        <v>607281</v>
      </c>
      <c r="AD60" s="55">
        <v>707626</v>
      </c>
      <c r="AE60" s="436">
        <v>1079273</v>
      </c>
      <c r="AF60" s="631">
        <v>784139</v>
      </c>
      <c r="AG60" s="55">
        <v>781553</v>
      </c>
      <c r="AH60" s="436">
        <v>963552</v>
      </c>
      <c r="AI60" s="631">
        <v>240581</v>
      </c>
      <c r="AJ60" s="55">
        <v>226200</v>
      </c>
      <c r="AK60" s="436">
        <v>283260</v>
      </c>
      <c r="AL60" s="631">
        <v>660930</v>
      </c>
      <c r="AM60" s="55">
        <v>760864</v>
      </c>
      <c r="AN60" s="436">
        <v>1126844</v>
      </c>
      <c r="AO60" s="631">
        <v>240581</v>
      </c>
      <c r="AP60" s="55">
        <v>226200</v>
      </c>
      <c r="AQ60" s="436">
        <v>283260</v>
      </c>
      <c r="AR60" s="55">
        <v>157515</v>
      </c>
      <c r="AS60" s="55">
        <v>158157</v>
      </c>
      <c r="AT60" s="436">
        <v>95735</v>
      </c>
      <c r="AU60" s="55">
        <v>164863</v>
      </c>
      <c r="AV60" s="55">
        <v>156591</v>
      </c>
      <c r="AW60" s="436">
        <v>207967</v>
      </c>
      <c r="AX60" s="56"/>
      <c r="AY60" s="56"/>
      <c r="AZ60" s="338"/>
    </row>
    <row r="61" spans="1:52" ht="36" x14ac:dyDescent="0.2">
      <c r="A61" s="123">
        <v>10</v>
      </c>
      <c r="B61" s="131" t="s">
        <v>38</v>
      </c>
      <c r="C61" s="132" t="s">
        <v>371</v>
      </c>
      <c r="D61" s="132" t="s">
        <v>346</v>
      </c>
      <c r="E61" s="132" t="s">
        <v>367</v>
      </c>
      <c r="F61" s="132"/>
      <c r="G61" s="132" t="s">
        <v>279</v>
      </c>
      <c r="H61" s="132" t="s">
        <v>868</v>
      </c>
      <c r="I61" s="132" t="s">
        <v>363</v>
      </c>
      <c r="J61" s="132" t="s">
        <v>364</v>
      </c>
      <c r="K61" s="132" t="s">
        <v>299</v>
      </c>
      <c r="L61" s="132"/>
      <c r="M61" s="132" t="s">
        <v>285</v>
      </c>
      <c r="N61" s="132" t="s">
        <v>286</v>
      </c>
      <c r="O61" s="132" t="s">
        <v>350</v>
      </c>
      <c r="P61" s="132" t="s">
        <v>370</v>
      </c>
      <c r="Q61" s="132" t="s">
        <v>293</v>
      </c>
      <c r="R61" s="132"/>
      <c r="S61" s="189" t="s">
        <v>794</v>
      </c>
      <c r="T61" s="213" t="s">
        <v>794</v>
      </c>
      <c r="U61" s="189"/>
      <c r="V61" s="189"/>
      <c r="W61" s="214"/>
      <c r="X61" s="189"/>
      <c r="Y61" s="215"/>
      <c r="Z61" s="205">
        <v>0.29399999999999998</v>
      </c>
      <c r="AA61" s="206">
        <v>0.374</v>
      </c>
      <c r="AB61" s="627">
        <v>0.25</v>
      </c>
      <c r="AC61" s="632">
        <v>0.24299999999999999</v>
      </c>
      <c r="AD61" s="206">
        <v>0.316</v>
      </c>
      <c r="AE61" s="627">
        <v>0.24199999999999999</v>
      </c>
      <c r="AF61" s="632">
        <v>0.32400000000000001</v>
      </c>
      <c r="AG61" s="206">
        <v>0.43</v>
      </c>
      <c r="AH61" s="627">
        <v>0.30199999999999999</v>
      </c>
      <c r="AI61" s="632">
        <v>0.36299999999999999</v>
      </c>
      <c r="AJ61" s="206">
        <v>0.46400000000000002</v>
      </c>
      <c r="AK61" s="627">
        <v>0.36599999999999999</v>
      </c>
      <c r="AL61" s="633" t="s">
        <v>26</v>
      </c>
      <c r="AM61" s="207">
        <v>0.40400000000000003</v>
      </c>
      <c r="AN61" s="627">
        <v>0.28799999999999998</v>
      </c>
      <c r="AO61" s="632">
        <v>0.36299999999999999</v>
      </c>
      <c r="AP61" s="206">
        <v>0.46400000000000002</v>
      </c>
      <c r="AQ61" s="627">
        <v>0.36599999999999999</v>
      </c>
      <c r="AR61" s="206">
        <v>0.39</v>
      </c>
      <c r="AS61" s="206">
        <v>0.53200000000000003</v>
      </c>
      <c r="AT61" s="627">
        <v>0.34799999999999998</v>
      </c>
      <c r="AU61" s="206">
        <v>0.311</v>
      </c>
      <c r="AV61" s="206">
        <v>0.40100000000000002</v>
      </c>
      <c r="AW61" s="634">
        <v>0.28000000000000003</v>
      </c>
      <c r="AX61" s="207">
        <v>4.2999999999999997E-2</v>
      </c>
      <c r="AY61" s="207">
        <v>4.1000000000000002E-2</v>
      </c>
      <c r="AZ61" s="316">
        <v>3.5999999999999997E-2</v>
      </c>
    </row>
    <row r="62" spans="1:52" ht="72" x14ac:dyDescent="0.2">
      <c r="A62" s="123">
        <v>11</v>
      </c>
      <c r="B62" s="131" t="s">
        <v>39</v>
      </c>
      <c r="C62" s="132" t="s">
        <v>372</v>
      </c>
      <c r="D62" s="132" t="s">
        <v>346</v>
      </c>
      <c r="E62" s="132" t="s">
        <v>367</v>
      </c>
      <c r="F62" s="132"/>
      <c r="G62" s="132" t="s">
        <v>306</v>
      </c>
      <c r="H62" s="132" t="s">
        <v>927</v>
      </c>
      <c r="I62" s="132" t="s">
        <v>336</v>
      </c>
      <c r="J62" s="132" t="s">
        <v>374</v>
      </c>
      <c r="K62" s="132" t="s">
        <v>375</v>
      </c>
      <c r="L62" s="132"/>
      <c r="M62" s="132" t="s">
        <v>285</v>
      </c>
      <c r="N62" s="132" t="s">
        <v>286</v>
      </c>
      <c r="O62" s="132" t="s">
        <v>350</v>
      </c>
      <c r="P62" s="132" t="s">
        <v>293</v>
      </c>
      <c r="Q62" s="132" t="s">
        <v>293</v>
      </c>
      <c r="R62" s="132" t="s">
        <v>1013</v>
      </c>
      <c r="S62" s="189" t="s">
        <v>794</v>
      </c>
      <c r="T62" s="213" t="s">
        <v>794</v>
      </c>
      <c r="U62" s="189"/>
      <c r="V62" s="189"/>
      <c r="W62" s="214"/>
      <c r="X62" s="189"/>
      <c r="Y62" s="215"/>
      <c r="Z62" s="641" t="s">
        <v>26</v>
      </c>
      <c r="AA62" s="239" t="s">
        <v>26</v>
      </c>
      <c r="AB62" s="628">
        <v>0.91157744938217844</v>
      </c>
      <c r="AC62" s="239" t="s">
        <v>26</v>
      </c>
      <c r="AD62" s="239" t="s">
        <v>26</v>
      </c>
      <c r="AE62" s="628">
        <v>0.93548359075036047</v>
      </c>
      <c r="AF62" s="239" t="s">
        <v>26</v>
      </c>
      <c r="AG62" s="239" t="s">
        <v>26</v>
      </c>
      <c r="AH62" s="628">
        <v>0.92902534545185844</v>
      </c>
      <c r="AI62" s="239" t="s">
        <v>26</v>
      </c>
      <c r="AJ62" s="239" t="s">
        <v>26</v>
      </c>
      <c r="AK62" s="628">
        <v>0.94511255655714277</v>
      </c>
      <c r="AL62" s="239" t="s">
        <v>26</v>
      </c>
      <c r="AM62" s="239" t="s">
        <v>26</v>
      </c>
      <c r="AN62" s="628">
        <v>0.90629424043089768</v>
      </c>
      <c r="AO62" s="239" t="s">
        <v>26</v>
      </c>
      <c r="AP62" s="239" t="s">
        <v>26</v>
      </c>
      <c r="AQ62" s="628">
        <v>0.90825753906320073</v>
      </c>
      <c r="AR62" s="239" t="s">
        <v>26</v>
      </c>
      <c r="AS62" s="239" t="s">
        <v>26</v>
      </c>
      <c r="AT62" s="628">
        <v>0.89935805135589153</v>
      </c>
      <c r="AU62" s="239" t="s">
        <v>26</v>
      </c>
      <c r="AV62" s="239" t="s">
        <v>26</v>
      </c>
      <c r="AW62" s="628">
        <v>0.9759187442289935</v>
      </c>
      <c r="AX62" s="239" t="s">
        <v>26</v>
      </c>
      <c r="AY62" s="239" t="s">
        <v>26</v>
      </c>
      <c r="AZ62" s="364" t="s">
        <v>26</v>
      </c>
    </row>
    <row r="63" spans="1:52" ht="36" x14ac:dyDescent="0.2">
      <c r="A63" s="123">
        <v>12</v>
      </c>
      <c r="B63" s="81" t="s">
        <v>40</v>
      </c>
      <c r="C63" s="80" t="s">
        <v>376</v>
      </c>
      <c r="D63" s="80" t="s">
        <v>346</v>
      </c>
      <c r="E63" s="80" t="s">
        <v>377</v>
      </c>
      <c r="F63" s="80"/>
      <c r="G63" s="80" t="s">
        <v>279</v>
      </c>
      <c r="H63" s="80" t="s">
        <v>362</v>
      </c>
      <c r="I63" s="80" t="s">
        <v>363</v>
      </c>
      <c r="J63" s="80" t="s">
        <v>364</v>
      </c>
      <c r="K63" s="80" t="s">
        <v>299</v>
      </c>
      <c r="L63" s="80"/>
      <c r="M63" s="80" t="s">
        <v>285</v>
      </c>
      <c r="N63" s="80" t="s">
        <v>286</v>
      </c>
      <c r="O63" s="80" t="s">
        <v>350</v>
      </c>
      <c r="P63" s="80" t="s">
        <v>378</v>
      </c>
      <c r="Q63" s="80" t="s">
        <v>289</v>
      </c>
      <c r="R63" s="80" t="s">
        <v>928</v>
      </c>
      <c r="S63" s="189"/>
      <c r="T63" s="213"/>
      <c r="U63" s="189" t="s">
        <v>794</v>
      </c>
      <c r="V63" s="189"/>
      <c r="W63" s="214"/>
      <c r="X63" s="189"/>
      <c r="Y63" s="215"/>
      <c r="Z63" s="152"/>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31"/>
    </row>
    <row r="64" spans="1:52" ht="84" x14ac:dyDescent="0.2">
      <c r="A64" s="123">
        <v>13</v>
      </c>
      <c r="B64" s="81" t="s">
        <v>41</v>
      </c>
      <c r="C64" s="80" t="s">
        <v>379</v>
      </c>
      <c r="D64" s="80" t="s">
        <v>346</v>
      </c>
      <c r="E64" s="80" t="s">
        <v>377</v>
      </c>
      <c r="F64" s="80"/>
      <c r="G64" s="80" t="s">
        <v>306</v>
      </c>
      <c r="H64" s="80" t="s">
        <v>373</v>
      </c>
      <c r="I64" s="80" t="s">
        <v>336</v>
      </c>
      <c r="J64" s="80" t="s">
        <v>374</v>
      </c>
      <c r="K64" s="80" t="s">
        <v>375</v>
      </c>
      <c r="L64" s="80"/>
      <c r="M64" s="80" t="s">
        <v>285</v>
      </c>
      <c r="N64" s="80" t="s">
        <v>286</v>
      </c>
      <c r="O64" s="80" t="s">
        <v>350</v>
      </c>
      <c r="P64" s="80" t="s">
        <v>378</v>
      </c>
      <c r="Q64" s="80" t="s">
        <v>293</v>
      </c>
      <c r="R64" s="80" t="s">
        <v>929</v>
      </c>
      <c r="S64" s="189"/>
      <c r="T64" s="213"/>
      <c r="U64" s="189" t="s">
        <v>794</v>
      </c>
      <c r="V64" s="189"/>
      <c r="W64" s="214"/>
      <c r="X64" s="189"/>
      <c r="Y64" s="215"/>
      <c r="Z64" s="152"/>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31"/>
    </row>
    <row r="65" spans="1:52" ht="84" x14ac:dyDescent="0.2">
      <c r="A65" s="123">
        <v>14</v>
      </c>
      <c r="B65" s="13" t="s">
        <v>42</v>
      </c>
      <c r="C65" s="146" t="s">
        <v>380</v>
      </c>
      <c r="D65" s="122" t="s">
        <v>346</v>
      </c>
      <c r="E65" s="122" t="s">
        <v>377</v>
      </c>
      <c r="F65" s="122"/>
      <c r="G65" s="122" t="s">
        <v>306</v>
      </c>
      <c r="H65" s="130" t="s">
        <v>879</v>
      </c>
      <c r="I65" s="122" t="s">
        <v>880</v>
      </c>
      <c r="J65" s="122" t="s">
        <v>286</v>
      </c>
      <c r="K65" s="122" t="s">
        <v>337</v>
      </c>
      <c r="L65" s="122"/>
      <c r="M65" s="122" t="s">
        <v>285</v>
      </c>
      <c r="N65" s="122" t="s">
        <v>286</v>
      </c>
      <c r="O65" s="122" t="s">
        <v>350</v>
      </c>
      <c r="P65" s="122" t="s">
        <v>381</v>
      </c>
      <c r="Q65" s="122" t="s">
        <v>289</v>
      </c>
      <c r="R65" s="122" t="s">
        <v>933</v>
      </c>
      <c r="S65" s="215" t="s">
        <v>794</v>
      </c>
      <c r="T65" s="189" t="s">
        <v>794</v>
      </c>
      <c r="V65" s="189"/>
      <c r="W65" s="214"/>
      <c r="X65" s="189"/>
      <c r="Y65" s="215"/>
      <c r="Z65" s="688">
        <v>1996</v>
      </c>
      <c r="AA65" s="689">
        <v>2000</v>
      </c>
      <c r="AB65" s="689">
        <v>2001</v>
      </c>
      <c r="AC65" s="689">
        <v>2002</v>
      </c>
      <c r="AD65" s="689">
        <v>2003</v>
      </c>
      <c r="AE65" s="689">
        <v>2004</v>
      </c>
      <c r="AF65" s="689">
        <v>2005</v>
      </c>
      <c r="AG65" s="689">
        <v>2006</v>
      </c>
      <c r="AH65" s="689">
        <v>2007</v>
      </c>
      <c r="AI65" s="689">
        <v>2008</v>
      </c>
      <c r="AJ65" s="689">
        <v>2009</v>
      </c>
      <c r="AK65" s="689">
        <v>2010</v>
      </c>
      <c r="AL65" s="689">
        <v>2011</v>
      </c>
      <c r="AM65" s="689">
        <v>2012</v>
      </c>
      <c r="AN65" s="689">
        <v>2013</v>
      </c>
      <c r="AO65" s="7"/>
      <c r="AP65" s="7"/>
      <c r="AQ65" s="7"/>
      <c r="AR65" s="7"/>
      <c r="AS65" s="7"/>
      <c r="AT65" s="7"/>
      <c r="AU65" s="7"/>
      <c r="AW65" s="7"/>
      <c r="AX65" s="7"/>
      <c r="AY65" s="7"/>
      <c r="AZ65" s="31"/>
    </row>
    <row r="66" spans="1:52" ht="15.75" customHeight="1" x14ac:dyDescent="0.2">
      <c r="A66" s="123"/>
      <c r="B66" s="269" t="s">
        <v>3</v>
      </c>
      <c r="C66" s="122"/>
      <c r="D66" s="122"/>
      <c r="E66" s="122"/>
      <c r="F66" s="122"/>
      <c r="G66" s="122"/>
      <c r="H66" s="122"/>
      <c r="I66" s="122"/>
      <c r="J66" s="122"/>
      <c r="K66" s="122"/>
      <c r="L66" s="122"/>
      <c r="M66" s="122"/>
      <c r="N66" s="122"/>
      <c r="O66" s="122"/>
      <c r="P66" s="122"/>
      <c r="Q66" s="122"/>
      <c r="R66" s="122"/>
      <c r="S66" s="189"/>
      <c r="T66" s="213"/>
      <c r="U66" s="189"/>
      <c r="V66" s="189"/>
      <c r="W66" s="214"/>
      <c r="X66" s="189"/>
      <c r="Y66" s="215"/>
      <c r="Z66" s="152">
        <v>0.7</v>
      </c>
      <c r="AA66" s="324">
        <v>0.68764471360988522</v>
      </c>
      <c r="AB66" s="324">
        <v>0.68335035473864725</v>
      </c>
      <c r="AC66" s="324">
        <v>0.67837017546123279</v>
      </c>
      <c r="AD66" s="324">
        <v>0.71820949492528741</v>
      </c>
      <c r="AE66" s="324">
        <v>0.67206734114158706</v>
      </c>
      <c r="AF66" s="324">
        <v>0.67143930778653005</v>
      </c>
      <c r="AG66" s="325">
        <v>0.6723856183284278</v>
      </c>
      <c r="AH66" s="324">
        <v>0.67580763689832102</v>
      </c>
      <c r="AI66" s="324">
        <v>0.67899116212887745</v>
      </c>
      <c r="AJ66" s="324">
        <v>0.68114429062852666</v>
      </c>
      <c r="AK66" s="324">
        <v>0.68775700934871964</v>
      </c>
      <c r="AL66" s="324">
        <v>0.70616712632127998</v>
      </c>
      <c r="AM66" s="324">
        <v>0.71168802604797154</v>
      </c>
      <c r="AN66" s="324">
        <v>0.71820949492528696</v>
      </c>
      <c r="AO66" s="7"/>
      <c r="AP66" s="7"/>
      <c r="AQ66" s="7"/>
      <c r="AR66" s="7"/>
      <c r="AS66" s="7"/>
      <c r="AT66" s="7"/>
      <c r="AU66" s="7"/>
      <c r="AW66" s="7"/>
      <c r="AX66" s="7"/>
      <c r="AY66" s="7"/>
      <c r="AZ66" s="31"/>
    </row>
    <row r="67" spans="1:52" ht="15.75" customHeight="1" x14ac:dyDescent="0.2">
      <c r="A67" s="123"/>
      <c r="B67" s="269" t="s">
        <v>4</v>
      </c>
      <c r="C67" s="122"/>
      <c r="D67" s="122"/>
      <c r="E67" s="122"/>
      <c r="F67" s="122"/>
      <c r="G67" s="122"/>
      <c r="H67" s="122"/>
      <c r="I67" s="122"/>
      <c r="J67" s="122"/>
      <c r="K67" s="122"/>
      <c r="L67" s="122"/>
      <c r="M67" s="122"/>
      <c r="N67" s="122"/>
      <c r="O67" s="122"/>
      <c r="P67" s="122"/>
      <c r="Q67" s="122"/>
      <c r="R67" s="122"/>
      <c r="S67" s="189"/>
      <c r="T67" s="213"/>
      <c r="U67" s="189"/>
      <c r="V67" s="189"/>
      <c r="W67" s="214"/>
      <c r="X67" s="189"/>
      <c r="Y67" s="215"/>
      <c r="Z67" s="152">
        <v>0.7</v>
      </c>
      <c r="AA67" s="324">
        <v>0.68274876595451184</v>
      </c>
      <c r="AB67" s="324">
        <v>0.67813896382868244</v>
      </c>
      <c r="AC67" s="324">
        <v>0.67347906326992468</v>
      </c>
      <c r="AD67" s="324">
        <v>0.71875710707904383</v>
      </c>
      <c r="AE67" s="324">
        <v>0.66810423801787444</v>
      </c>
      <c r="AF67" s="324">
        <v>0.66790453476807976</v>
      </c>
      <c r="AG67" s="325">
        <v>0.66930278429857759</v>
      </c>
      <c r="AH67" s="324">
        <v>0.67311992019165279</v>
      </c>
      <c r="AI67" s="324">
        <v>0.67685898559411406</v>
      </c>
      <c r="AJ67" s="324">
        <v>0.67979901237054718</v>
      </c>
      <c r="AK67" s="324">
        <v>0.68671543284206837</v>
      </c>
      <c r="AL67" s="324">
        <v>0.70491058058836475</v>
      </c>
      <c r="AM67" s="324">
        <v>0.71223904904615998</v>
      </c>
      <c r="AN67" s="324">
        <v>0.71875710707904383</v>
      </c>
      <c r="AO67" s="7"/>
      <c r="AP67" s="7"/>
      <c r="AQ67" s="7"/>
      <c r="AR67" s="7"/>
      <c r="AS67" s="7"/>
      <c r="AT67" s="7"/>
      <c r="AU67" s="7"/>
      <c r="AW67" s="7"/>
      <c r="AX67" s="7"/>
      <c r="AY67" s="7"/>
      <c r="AZ67" s="31"/>
    </row>
    <row r="68" spans="1:52" s="16" customFormat="1" ht="15.75" customHeight="1" x14ac:dyDescent="0.2">
      <c r="A68" s="10"/>
      <c r="B68" s="470" t="s">
        <v>5</v>
      </c>
      <c r="C68" s="122"/>
      <c r="D68" s="122"/>
      <c r="E68" s="122"/>
      <c r="F68" s="122"/>
      <c r="G68" s="122"/>
      <c r="H68" s="122"/>
      <c r="I68" s="122"/>
      <c r="J68" s="122"/>
      <c r="K68" s="122"/>
      <c r="L68" s="122"/>
      <c r="M68" s="122"/>
      <c r="N68" s="122"/>
      <c r="O68" s="122"/>
      <c r="P68" s="122"/>
      <c r="Q68" s="122"/>
      <c r="R68" s="122"/>
      <c r="S68" s="189"/>
      <c r="T68" s="213"/>
      <c r="U68" s="189"/>
      <c r="V68" s="189"/>
      <c r="W68" s="214"/>
      <c r="X68" s="189"/>
      <c r="Y68" s="215"/>
      <c r="Z68" s="753">
        <v>0.68</v>
      </c>
      <c r="AA68" s="324">
        <v>0.6843488907859383</v>
      </c>
      <c r="AB68" s="324">
        <v>0.68325518431979992</v>
      </c>
      <c r="AC68" s="324">
        <v>0.68162482736082219</v>
      </c>
      <c r="AD68" s="324">
        <v>0.7311754678752701</v>
      </c>
      <c r="AE68" s="324">
        <v>0.67874536206142499</v>
      </c>
      <c r="AF68" s="324">
        <v>0.67903278777542397</v>
      </c>
      <c r="AG68" s="325">
        <v>0.68074276704789993</v>
      </c>
      <c r="AH68" s="324">
        <v>0.6849924731284549</v>
      </c>
      <c r="AI68" s="324">
        <v>0.6892021302066883</v>
      </c>
      <c r="AJ68" s="324">
        <v>0.69224810811721194</v>
      </c>
      <c r="AK68" s="324">
        <v>0.69772461096144356</v>
      </c>
      <c r="AL68" s="324">
        <v>0.71516953365407554</v>
      </c>
      <c r="AM68" s="324">
        <v>0.72422803817044479</v>
      </c>
      <c r="AN68" s="324">
        <v>0.7311754678752701</v>
      </c>
      <c r="AO68" s="4"/>
      <c r="AP68" s="4"/>
      <c r="AQ68" s="4"/>
      <c r="AR68" s="4"/>
      <c r="AS68" s="4"/>
      <c r="AT68" s="4"/>
      <c r="AU68" s="4"/>
      <c r="AW68" s="4"/>
      <c r="AX68" s="4"/>
      <c r="AY68" s="4"/>
      <c r="AZ68" s="477"/>
    </row>
    <row r="69" spans="1:52" ht="15.75" customHeight="1" x14ac:dyDescent="0.2">
      <c r="A69" s="123"/>
      <c r="B69" s="269" t="s">
        <v>251</v>
      </c>
      <c r="C69" s="122"/>
      <c r="D69" s="122"/>
      <c r="E69" s="122"/>
      <c r="F69" s="122"/>
      <c r="G69" s="122"/>
      <c r="H69" s="122"/>
      <c r="I69" s="122"/>
      <c r="J69" s="122"/>
      <c r="K69" s="122"/>
      <c r="L69" s="122"/>
      <c r="M69" s="122"/>
      <c r="N69" s="122"/>
      <c r="O69" s="122"/>
      <c r="P69" s="122"/>
      <c r="Q69" s="122"/>
      <c r="R69" s="122"/>
      <c r="S69" s="189"/>
      <c r="T69" s="213"/>
      <c r="U69" s="189"/>
      <c r="V69" s="189"/>
      <c r="W69" s="214"/>
      <c r="X69" s="189"/>
      <c r="Y69" s="215"/>
      <c r="Z69" s="152">
        <v>0.63</v>
      </c>
      <c r="AA69" s="324">
        <v>0.59789237116212968</v>
      </c>
      <c r="AB69" s="324">
        <v>0.59046661380625787</v>
      </c>
      <c r="AC69" s="324">
        <v>0.584319627078972</v>
      </c>
      <c r="AD69" s="324">
        <v>0.63080538831762578</v>
      </c>
      <c r="AE69" s="324">
        <v>0.57777148248259613</v>
      </c>
      <c r="AF69" s="324">
        <v>0.5763031879687851</v>
      </c>
      <c r="AG69" s="325">
        <v>0.57624276948257258</v>
      </c>
      <c r="AH69" s="324">
        <v>0.57939689946104733</v>
      </c>
      <c r="AI69" s="324">
        <v>0.58318785953925523</v>
      </c>
      <c r="AJ69" s="324">
        <v>0.58489488662372457</v>
      </c>
      <c r="AK69" s="324">
        <v>0.59089488686948466</v>
      </c>
      <c r="AL69" s="324">
        <v>0.61232788032402807</v>
      </c>
      <c r="AM69" s="324">
        <v>0.62152543191259646</v>
      </c>
      <c r="AN69" s="324">
        <v>0.63080538831762578</v>
      </c>
      <c r="AO69" s="7"/>
      <c r="AP69" s="7"/>
      <c r="AQ69" s="7"/>
      <c r="AR69" s="7"/>
      <c r="AS69" s="7"/>
      <c r="AT69" s="7"/>
      <c r="AU69" s="7"/>
      <c r="AW69" s="7"/>
      <c r="AX69" s="7"/>
      <c r="AY69" s="7"/>
      <c r="AZ69" s="31"/>
    </row>
    <row r="70" spans="1:52" ht="15.75" customHeight="1" x14ac:dyDescent="0.2">
      <c r="A70" s="123"/>
      <c r="B70" s="269" t="s">
        <v>252</v>
      </c>
      <c r="C70" s="122"/>
      <c r="D70" s="122"/>
      <c r="E70" s="122"/>
      <c r="F70" s="122"/>
      <c r="G70" s="122"/>
      <c r="H70" s="122"/>
      <c r="I70" s="122"/>
      <c r="J70" s="122"/>
      <c r="K70" s="122"/>
      <c r="L70" s="122"/>
      <c r="M70" s="122"/>
      <c r="N70" s="122"/>
      <c r="O70" s="122"/>
      <c r="P70" s="122"/>
      <c r="Q70" s="122"/>
      <c r="R70" s="122"/>
      <c r="S70" s="189"/>
      <c r="T70" s="213"/>
      <c r="U70" s="189"/>
      <c r="V70" s="189"/>
      <c r="W70" s="214"/>
      <c r="X70" s="189"/>
      <c r="Y70" s="215"/>
      <c r="Z70" s="152">
        <v>0.67</v>
      </c>
      <c r="AA70" s="324">
        <v>0.65804462152533127</v>
      </c>
      <c r="AB70" s="324">
        <v>0.65313852313752985</v>
      </c>
      <c r="AC70" s="324">
        <v>0.64846598250293297</v>
      </c>
      <c r="AD70" s="324">
        <v>0.70221818347633613</v>
      </c>
      <c r="AE70" s="324">
        <v>0.6428036841450947</v>
      </c>
      <c r="AF70" s="324">
        <v>0.6424935723717361</v>
      </c>
      <c r="AG70" s="325">
        <v>0.64382863553779235</v>
      </c>
      <c r="AH70" s="324">
        <v>0.64791982474487853</v>
      </c>
      <c r="AI70" s="324">
        <v>0.65183427855149301</v>
      </c>
      <c r="AJ70" s="324">
        <v>0.6548447891275061</v>
      </c>
      <c r="AK70" s="324">
        <v>0.66242447181159647</v>
      </c>
      <c r="AL70" s="324">
        <v>0.68301846018031809</v>
      </c>
      <c r="AM70" s="324">
        <v>0.69339426663599346</v>
      </c>
      <c r="AN70" s="324">
        <v>0.70221818347633613</v>
      </c>
      <c r="AO70" s="7"/>
      <c r="AP70" s="7"/>
      <c r="AQ70" s="7"/>
      <c r="AR70" s="7"/>
      <c r="AS70" s="7"/>
      <c r="AT70" s="7"/>
      <c r="AU70" s="7"/>
      <c r="AW70" s="7"/>
      <c r="AX70" s="7"/>
      <c r="AY70" s="7"/>
      <c r="AZ70" s="31"/>
    </row>
    <row r="71" spans="1:52" ht="15.75" customHeight="1" x14ac:dyDescent="0.2">
      <c r="A71" s="123"/>
      <c r="B71" s="269" t="s">
        <v>6</v>
      </c>
      <c r="C71" s="146"/>
      <c r="D71" s="122"/>
      <c r="E71" s="122"/>
      <c r="F71" s="122"/>
      <c r="G71" s="122"/>
      <c r="H71" s="122"/>
      <c r="I71" s="122"/>
      <c r="J71" s="122"/>
      <c r="K71" s="122"/>
      <c r="L71" s="122"/>
      <c r="M71" s="122"/>
      <c r="N71" s="122"/>
      <c r="O71" s="122"/>
      <c r="P71" s="122"/>
      <c r="Q71" s="122"/>
      <c r="R71" s="122"/>
      <c r="S71" s="189"/>
      <c r="T71" s="213"/>
      <c r="U71" s="189"/>
      <c r="V71" s="189"/>
      <c r="W71" s="214"/>
      <c r="X71" s="189"/>
      <c r="Y71" s="215"/>
      <c r="Z71" s="152">
        <v>0.63</v>
      </c>
      <c r="AA71" s="324">
        <v>0.61356723267567936</v>
      </c>
      <c r="AB71" s="324">
        <v>0.60952049758322624</v>
      </c>
      <c r="AC71" s="324">
        <v>0.60550272684706641</v>
      </c>
      <c r="AD71" s="324">
        <v>0.66890657520574193</v>
      </c>
      <c r="AE71" s="324">
        <v>0.60155251125566911</v>
      </c>
      <c r="AF71" s="324">
        <v>0.60327767352399009</v>
      </c>
      <c r="AG71" s="325">
        <v>0.60668240564144327</v>
      </c>
      <c r="AH71" s="324">
        <v>0.6119311796922221</v>
      </c>
      <c r="AI71" s="324">
        <v>0.61597883969340383</v>
      </c>
      <c r="AJ71" s="324">
        <v>0.6179872862025908</v>
      </c>
      <c r="AK71" s="324">
        <v>0.62579694997143853</v>
      </c>
      <c r="AL71" s="324">
        <v>0.64758677669441445</v>
      </c>
      <c r="AM71" s="324">
        <v>0.65911634285696241</v>
      </c>
      <c r="AN71" s="324">
        <v>0.66890657520574193</v>
      </c>
      <c r="AO71" s="7"/>
      <c r="AP71" s="7"/>
      <c r="AQ71" s="7"/>
      <c r="AR71" s="7"/>
      <c r="AS71" s="7"/>
      <c r="AT71" s="7"/>
      <c r="AU71" s="7"/>
      <c r="AW71" s="7"/>
      <c r="AX71" s="7"/>
      <c r="AY71" s="7"/>
      <c r="AZ71" s="31"/>
    </row>
    <row r="72" spans="1:52" s="16" customFormat="1" ht="15.75" customHeight="1" x14ac:dyDescent="0.2">
      <c r="A72" s="10"/>
      <c r="B72" s="470" t="s">
        <v>8</v>
      </c>
      <c r="C72" s="146"/>
      <c r="D72" s="122"/>
      <c r="E72" s="122"/>
      <c r="F72" s="122"/>
      <c r="G72" s="122"/>
      <c r="H72" s="122"/>
      <c r="I72" s="122"/>
      <c r="J72" s="122"/>
      <c r="K72" s="122"/>
      <c r="L72" s="122"/>
      <c r="M72" s="122"/>
      <c r="N72" s="122"/>
      <c r="O72" s="122"/>
      <c r="P72" s="122"/>
      <c r="Q72" s="122"/>
      <c r="R72" s="122"/>
      <c r="S72" s="189"/>
      <c r="T72" s="213"/>
      <c r="U72" s="189"/>
      <c r="V72" s="189"/>
      <c r="W72" s="214"/>
      <c r="X72" s="189"/>
      <c r="Y72" s="215"/>
      <c r="Z72" s="753">
        <v>0.57999999999999996</v>
      </c>
      <c r="AA72" s="324">
        <v>0.57629354422109824</v>
      </c>
      <c r="AB72" s="324">
        <v>0.57314049750976137</v>
      </c>
      <c r="AC72" s="324">
        <v>0.56933316980177884</v>
      </c>
      <c r="AD72" s="324">
        <v>0.6460947189416778</v>
      </c>
      <c r="AE72" s="324">
        <v>0.56596857893456198</v>
      </c>
      <c r="AF72" s="324">
        <v>0.5685917366976615</v>
      </c>
      <c r="AG72" s="325">
        <v>0.57363925580189068</v>
      </c>
      <c r="AH72" s="324">
        <v>0.58149491572080458</v>
      </c>
      <c r="AI72" s="324">
        <v>0.58836475490618734</v>
      </c>
      <c r="AJ72" s="324">
        <v>0.5924565046034449</v>
      </c>
      <c r="AK72" s="324">
        <v>0.60203866213438628</v>
      </c>
      <c r="AL72" s="324">
        <v>0.62663862448329499</v>
      </c>
      <c r="AM72" s="324">
        <v>0.63694694991509537</v>
      </c>
      <c r="AN72" s="324">
        <v>0.6460947189416778</v>
      </c>
      <c r="AO72" s="4"/>
      <c r="AP72" s="4"/>
      <c r="AQ72" s="4"/>
      <c r="AR72" s="4"/>
      <c r="AS72" s="4"/>
      <c r="AT72" s="4"/>
      <c r="AU72" s="4"/>
      <c r="AW72" s="4"/>
      <c r="AX72" s="4"/>
      <c r="AY72" s="4"/>
      <c r="AZ72" s="477"/>
    </row>
    <row r="73" spans="1:52" s="16" customFormat="1" ht="15.75" customHeight="1" x14ac:dyDescent="0.2">
      <c r="A73" s="10"/>
      <c r="B73" s="375" t="s">
        <v>7</v>
      </c>
      <c r="C73" s="146"/>
      <c r="D73" s="122"/>
      <c r="E73" s="122"/>
      <c r="F73" s="122"/>
      <c r="G73" s="122"/>
      <c r="H73" s="122"/>
      <c r="I73" s="122"/>
      <c r="J73" s="122"/>
      <c r="K73" s="122"/>
      <c r="L73" s="122"/>
      <c r="M73" s="122"/>
      <c r="N73" s="122"/>
      <c r="O73" s="122"/>
      <c r="P73" s="122"/>
      <c r="Q73" s="122"/>
      <c r="R73" s="122"/>
      <c r="S73" s="189"/>
      <c r="T73" s="213"/>
      <c r="U73" s="189"/>
      <c r="V73" s="189"/>
      <c r="W73" s="214"/>
      <c r="X73" s="189"/>
      <c r="Y73" s="215"/>
      <c r="Z73" s="753">
        <v>0.6</v>
      </c>
      <c r="AA73" s="324">
        <v>0.58024605630391546</v>
      </c>
      <c r="AB73" s="324">
        <v>0.57381630039464848</v>
      </c>
      <c r="AC73" s="324">
        <v>0.56948584208556285</v>
      </c>
      <c r="AD73" s="324">
        <v>0.65043895201156665</v>
      </c>
      <c r="AE73" s="324">
        <v>0.56971999949894903</v>
      </c>
      <c r="AF73" s="324">
        <v>0.57507563540125517</v>
      </c>
      <c r="AG73" s="325">
        <v>0.58132192453052467</v>
      </c>
      <c r="AH73" s="324">
        <v>0.58833990188992613</v>
      </c>
      <c r="AI73" s="324">
        <v>0.59352198639484455</v>
      </c>
      <c r="AJ73" s="324">
        <v>0.59558865733090738</v>
      </c>
      <c r="AK73" s="324">
        <v>0.60450553289390152</v>
      </c>
      <c r="AL73" s="324">
        <v>0.629240710916112</v>
      </c>
      <c r="AM73" s="324">
        <v>0.64093422151887325</v>
      </c>
      <c r="AN73" s="324">
        <v>0.65043895201156665</v>
      </c>
      <c r="AO73" s="4"/>
      <c r="AP73" s="4"/>
      <c r="AQ73" s="4"/>
      <c r="AR73" s="4"/>
      <c r="AS73" s="4"/>
      <c r="AT73" s="4"/>
      <c r="AU73" s="4"/>
      <c r="AW73" s="4"/>
      <c r="AX73" s="4"/>
      <c r="AY73" s="4"/>
      <c r="AZ73" s="477"/>
    </row>
    <row r="74" spans="1:52" ht="15.75" customHeight="1" x14ac:dyDescent="0.2">
      <c r="A74" s="123"/>
      <c r="B74" s="280" t="s">
        <v>800</v>
      </c>
      <c r="C74" s="146"/>
      <c r="D74" s="122"/>
      <c r="E74" s="122"/>
      <c r="F74" s="122"/>
      <c r="G74" s="122"/>
      <c r="H74" s="122"/>
      <c r="I74" s="122"/>
      <c r="J74" s="122"/>
      <c r="K74" s="122"/>
      <c r="L74" s="122"/>
      <c r="M74" s="122"/>
      <c r="N74" s="122"/>
      <c r="O74" s="122"/>
      <c r="P74" s="122"/>
      <c r="Q74" s="122"/>
      <c r="R74" s="122"/>
      <c r="S74" s="189"/>
      <c r="T74" s="213"/>
      <c r="U74" s="189"/>
      <c r="V74" s="189"/>
      <c r="W74" s="214"/>
      <c r="X74" s="189"/>
      <c r="Y74" s="215"/>
      <c r="Z74" s="324">
        <v>0.62254167074218181</v>
      </c>
      <c r="AA74" s="324">
        <v>0.57498939113667069</v>
      </c>
      <c r="AB74" s="324">
        <v>0.56778704235404043</v>
      </c>
      <c r="AC74" s="324">
        <v>0.56246205610303257</v>
      </c>
      <c r="AD74" s="324">
        <v>0.62254167074218181</v>
      </c>
      <c r="AE74" s="324">
        <v>0.55734774007749344</v>
      </c>
      <c r="AF74" s="324">
        <v>0.55671830774036779</v>
      </c>
      <c r="AG74" s="325">
        <v>0.5574970110803924</v>
      </c>
      <c r="AH74" s="324">
        <v>0.56122156186545069</v>
      </c>
      <c r="AI74" s="324">
        <v>0.56551586186592206</v>
      </c>
      <c r="AJ74" s="324">
        <v>0.56761983149917006</v>
      </c>
      <c r="AK74" s="324">
        <v>0.57441493478489314</v>
      </c>
      <c r="AL74" s="324">
        <v>0.59751794428753657</v>
      </c>
      <c r="AM74" s="324">
        <v>0.61041782302704573</v>
      </c>
      <c r="AN74" s="324">
        <v>0.62254167074218181</v>
      </c>
      <c r="AO74" s="7"/>
      <c r="AP74" s="7"/>
      <c r="AQ74" s="7"/>
      <c r="AR74" s="7"/>
      <c r="AS74" s="7"/>
      <c r="AT74" s="7"/>
      <c r="AU74" s="7"/>
      <c r="AW74" s="7"/>
      <c r="AX74" s="7"/>
      <c r="AY74" s="7"/>
      <c r="AZ74" s="31"/>
    </row>
    <row r="75" spans="1:52" ht="36" x14ac:dyDescent="0.2">
      <c r="A75" s="123">
        <v>15</v>
      </c>
      <c r="B75" s="129" t="s">
        <v>43</v>
      </c>
      <c r="C75" s="130" t="s">
        <v>382</v>
      </c>
      <c r="D75" s="80" t="s">
        <v>346</v>
      </c>
      <c r="E75" s="80" t="s">
        <v>383</v>
      </c>
      <c r="F75" s="80"/>
      <c r="G75" s="80" t="s">
        <v>384</v>
      </c>
      <c r="H75" s="80" t="s">
        <v>385</v>
      </c>
      <c r="I75" s="80" t="s">
        <v>332</v>
      </c>
      <c r="J75" s="80" t="s">
        <v>333</v>
      </c>
      <c r="K75" s="80" t="s">
        <v>334</v>
      </c>
      <c r="L75" s="80"/>
      <c r="M75" s="80" t="s">
        <v>285</v>
      </c>
      <c r="N75" s="80" t="s">
        <v>286</v>
      </c>
      <c r="O75" s="80" t="s">
        <v>350</v>
      </c>
      <c r="P75" s="80" t="s">
        <v>378</v>
      </c>
      <c r="Q75" s="80" t="s">
        <v>293</v>
      </c>
      <c r="R75" s="80"/>
      <c r="S75" s="189"/>
      <c r="T75" s="213"/>
      <c r="U75" s="189" t="s">
        <v>794</v>
      </c>
      <c r="V75" s="189"/>
      <c r="W75" s="214"/>
      <c r="X75" s="189"/>
      <c r="Y75" s="215"/>
      <c r="Z75" s="152"/>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31"/>
    </row>
    <row r="76" spans="1:52" ht="36" x14ac:dyDescent="0.2">
      <c r="A76" s="123">
        <v>16</v>
      </c>
      <c r="B76" s="81" t="s">
        <v>44</v>
      </c>
      <c r="C76" s="80" t="s">
        <v>386</v>
      </c>
      <c r="D76" s="80" t="s">
        <v>346</v>
      </c>
      <c r="E76" s="80" t="s">
        <v>387</v>
      </c>
      <c r="F76" s="80"/>
      <c r="G76" s="80" t="s">
        <v>306</v>
      </c>
      <c r="H76" s="80" t="s">
        <v>388</v>
      </c>
      <c r="I76" s="80" t="s">
        <v>389</v>
      </c>
      <c r="J76" s="80" t="s">
        <v>350</v>
      </c>
      <c r="K76" s="80" t="s">
        <v>350</v>
      </c>
      <c r="L76" s="80"/>
      <c r="M76" s="80" t="s">
        <v>285</v>
      </c>
      <c r="N76" s="80" t="s">
        <v>286</v>
      </c>
      <c r="O76" s="80" t="s">
        <v>350</v>
      </c>
      <c r="P76" s="80" t="s">
        <v>390</v>
      </c>
      <c r="Q76" s="80" t="s">
        <v>289</v>
      </c>
      <c r="R76" s="80" t="s">
        <v>391</v>
      </c>
      <c r="S76" s="189"/>
      <c r="T76" s="213"/>
      <c r="U76" s="189" t="s">
        <v>794</v>
      </c>
      <c r="V76" s="189"/>
      <c r="W76" s="214"/>
      <c r="X76" s="189"/>
      <c r="Y76" s="215"/>
      <c r="Z76" s="152"/>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31"/>
    </row>
    <row r="77" spans="1:52" ht="24" x14ac:dyDescent="0.2">
      <c r="A77" s="123">
        <v>17</v>
      </c>
      <c r="B77" s="81" t="s">
        <v>45</v>
      </c>
      <c r="C77" s="80" t="s">
        <v>392</v>
      </c>
      <c r="D77" s="80" t="s">
        <v>346</v>
      </c>
      <c r="E77" s="80" t="s">
        <v>387</v>
      </c>
      <c r="F77" s="80"/>
      <c r="G77" s="80" t="s">
        <v>306</v>
      </c>
      <c r="H77" s="80" t="s">
        <v>388</v>
      </c>
      <c r="I77" s="80" t="s">
        <v>389</v>
      </c>
      <c r="J77" s="80" t="s">
        <v>350</v>
      </c>
      <c r="K77" s="80" t="s">
        <v>350</v>
      </c>
      <c r="L77" s="80"/>
      <c r="M77" s="80" t="s">
        <v>285</v>
      </c>
      <c r="N77" s="80" t="s">
        <v>286</v>
      </c>
      <c r="O77" s="80" t="s">
        <v>350</v>
      </c>
      <c r="P77" s="80" t="s">
        <v>390</v>
      </c>
      <c r="Q77" s="80" t="s">
        <v>238</v>
      </c>
      <c r="R77" s="80" t="s">
        <v>391</v>
      </c>
      <c r="S77" s="189"/>
      <c r="T77" s="213"/>
      <c r="U77" s="189" t="s">
        <v>794</v>
      </c>
      <c r="V77" s="189"/>
      <c r="W77" s="214"/>
      <c r="X77" s="189"/>
      <c r="Y77" s="215"/>
      <c r="Z77" s="152"/>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31"/>
    </row>
    <row r="78" spans="1:52" ht="24" x14ac:dyDescent="0.2">
      <c r="A78" s="123">
        <v>18</v>
      </c>
      <c r="B78" s="81" t="s">
        <v>46</v>
      </c>
      <c r="C78" s="80" t="s">
        <v>393</v>
      </c>
      <c r="D78" s="80" t="s">
        <v>346</v>
      </c>
      <c r="E78" s="80" t="s">
        <v>387</v>
      </c>
      <c r="F78" s="80"/>
      <c r="G78" s="80" t="s">
        <v>384</v>
      </c>
      <c r="H78" s="80" t="s">
        <v>388</v>
      </c>
      <c r="I78" s="80" t="s">
        <v>389</v>
      </c>
      <c r="J78" s="80" t="s">
        <v>350</v>
      </c>
      <c r="K78" s="80" t="s">
        <v>350</v>
      </c>
      <c r="L78" s="80"/>
      <c r="M78" s="80" t="s">
        <v>285</v>
      </c>
      <c r="N78" s="80" t="s">
        <v>286</v>
      </c>
      <c r="O78" s="80" t="s">
        <v>350</v>
      </c>
      <c r="P78" s="80" t="s">
        <v>390</v>
      </c>
      <c r="Q78" s="80" t="s">
        <v>238</v>
      </c>
      <c r="R78" s="80" t="s">
        <v>391</v>
      </c>
      <c r="S78" s="189"/>
      <c r="T78" s="213"/>
      <c r="U78" s="189" t="s">
        <v>794</v>
      </c>
      <c r="V78" s="189"/>
      <c r="W78" s="214"/>
      <c r="X78" s="189"/>
      <c r="Y78" s="215"/>
      <c r="Z78" s="152"/>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31"/>
    </row>
    <row r="79" spans="1:52" ht="84" x14ac:dyDescent="0.2">
      <c r="A79" s="123">
        <v>19</v>
      </c>
      <c r="B79" s="81" t="s">
        <v>47</v>
      </c>
      <c r="C79" s="80" t="s">
        <v>394</v>
      </c>
      <c r="D79" s="80" t="s">
        <v>346</v>
      </c>
      <c r="E79" s="80" t="s">
        <v>395</v>
      </c>
      <c r="F79" s="80"/>
      <c r="G79" s="80" t="s">
        <v>306</v>
      </c>
      <c r="H79" s="80" t="s">
        <v>396</v>
      </c>
      <c r="I79" s="80" t="s">
        <v>397</v>
      </c>
      <c r="J79" s="80" t="s">
        <v>350</v>
      </c>
      <c r="K79" s="80" t="s">
        <v>350</v>
      </c>
      <c r="L79" s="80"/>
      <c r="M79" s="80" t="s">
        <v>285</v>
      </c>
      <c r="N79" s="80" t="s">
        <v>286</v>
      </c>
      <c r="O79" s="80" t="s">
        <v>350</v>
      </c>
      <c r="P79" s="80" t="s">
        <v>390</v>
      </c>
      <c r="Q79" s="80" t="s">
        <v>289</v>
      </c>
      <c r="R79" s="80" t="s">
        <v>398</v>
      </c>
      <c r="S79" s="189"/>
      <c r="T79" s="213"/>
      <c r="U79" s="189" t="s">
        <v>794</v>
      </c>
      <c r="V79" s="189"/>
      <c r="W79" s="214"/>
      <c r="X79" s="189"/>
      <c r="Y79" s="215"/>
      <c r="Z79" s="152"/>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31"/>
    </row>
    <row r="80" spans="1:52" ht="36" x14ac:dyDescent="0.2">
      <c r="A80" s="123">
        <v>20</v>
      </c>
      <c r="B80" s="81" t="s">
        <v>48</v>
      </c>
      <c r="C80" s="80" t="s">
        <v>399</v>
      </c>
      <c r="D80" s="80" t="s">
        <v>346</v>
      </c>
      <c r="E80" s="80" t="s">
        <v>400</v>
      </c>
      <c r="F80" s="80"/>
      <c r="G80" s="80" t="s">
        <v>384</v>
      </c>
      <c r="H80" s="80" t="s">
        <v>401</v>
      </c>
      <c r="I80" s="80" t="s">
        <v>402</v>
      </c>
      <c r="J80" s="80" t="s">
        <v>350</v>
      </c>
      <c r="K80" s="80" t="s">
        <v>350</v>
      </c>
      <c r="L80" s="80"/>
      <c r="M80" s="80" t="s">
        <v>285</v>
      </c>
      <c r="N80" s="80" t="s">
        <v>286</v>
      </c>
      <c r="O80" s="80" t="s">
        <v>350</v>
      </c>
      <c r="P80" s="80" t="s">
        <v>390</v>
      </c>
      <c r="Q80" s="80" t="s">
        <v>289</v>
      </c>
      <c r="R80" s="80"/>
      <c r="S80" s="189"/>
      <c r="T80" s="213"/>
      <c r="U80" s="189" t="s">
        <v>794</v>
      </c>
      <c r="V80" s="189"/>
      <c r="W80" s="214"/>
      <c r="X80" s="189"/>
      <c r="Y80" s="215"/>
      <c r="Z80" s="152"/>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31"/>
    </row>
    <row r="81" spans="1:54" ht="36" x14ac:dyDescent="0.2">
      <c r="A81" s="123">
        <v>21</v>
      </c>
      <c r="B81" s="81" t="s">
        <v>49</v>
      </c>
      <c r="C81" s="80" t="s">
        <v>403</v>
      </c>
      <c r="D81" s="80" t="s">
        <v>346</v>
      </c>
      <c r="E81" s="80" t="s">
        <v>404</v>
      </c>
      <c r="F81" s="80"/>
      <c r="G81" s="80" t="s">
        <v>279</v>
      </c>
      <c r="H81" s="80" t="s">
        <v>405</v>
      </c>
      <c r="I81" s="80" t="s">
        <v>406</v>
      </c>
      <c r="J81" s="80" t="s">
        <v>407</v>
      </c>
      <c r="K81" s="80" t="s">
        <v>350</v>
      </c>
      <c r="L81" s="80"/>
      <c r="M81" s="80" t="s">
        <v>408</v>
      </c>
      <c r="N81" s="80" t="s">
        <v>286</v>
      </c>
      <c r="O81" s="80" t="s">
        <v>350</v>
      </c>
      <c r="P81" s="80" t="s">
        <v>409</v>
      </c>
      <c r="Q81" s="80" t="s">
        <v>289</v>
      </c>
      <c r="R81" s="80" t="s">
        <v>410</v>
      </c>
      <c r="S81" s="189"/>
      <c r="T81" s="213"/>
      <c r="U81" s="189"/>
      <c r="V81" s="189"/>
      <c r="W81" s="214"/>
      <c r="X81" s="189" t="s">
        <v>794</v>
      </c>
      <c r="Y81" s="215"/>
      <c r="Z81" s="152"/>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31"/>
    </row>
    <row r="82" spans="1:54" ht="36" x14ac:dyDescent="0.2">
      <c r="A82" s="123">
        <v>22</v>
      </c>
      <c r="B82" s="81" t="s">
        <v>50</v>
      </c>
      <c r="C82" s="80" t="s">
        <v>411</v>
      </c>
      <c r="D82" s="80" t="s">
        <v>346</v>
      </c>
      <c r="E82" s="80" t="s">
        <v>404</v>
      </c>
      <c r="F82" s="80"/>
      <c r="G82" s="80" t="s">
        <v>279</v>
      </c>
      <c r="H82" s="80" t="s">
        <v>405</v>
      </c>
      <c r="I82" s="80" t="s">
        <v>406</v>
      </c>
      <c r="J82" s="80" t="s">
        <v>407</v>
      </c>
      <c r="K82" s="80" t="s">
        <v>350</v>
      </c>
      <c r="L82" s="80"/>
      <c r="M82" s="80" t="s">
        <v>408</v>
      </c>
      <c r="N82" s="80" t="s">
        <v>286</v>
      </c>
      <c r="O82" s="80" t="s">
        <v>350</v>
      </c>
      <c r="P82" s="80" t="s">
        <v>409</v>
      </c>
      <c r="Q82" s="80" t="s">
        <v>289</v>
      </c>
      <c r="R82" s="80" t="s">
        <v>410</v>
      </c>
      <c r="S82" s="189"/>
      <c r="T82" s="213"/>
      <c r="U82" s="189"/>
      <c r="V82" s="189"/>
      <c r="W82" s="214"/>
      <c r="X82" s="189" t="s">
        <v>794</v>
      </c>
      <c r="Y82" s="215"/>
      <c r="Z82" s="152"/>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31"/>
    </row>
    <row r="83" spans="1:54" ht="36" x14ac:dyDescent="0.2">
      <c r="A83" s="123">
        <v>23</v>
      </c>
      <c r="B83" s="81" t="s">
        <v>51</v>
      </c>
      <c r="C83" s="80" t="s">
        <v>412</v>
      </c>
      <c r="D83" s="80" t="s">
        <v>346</v>
      </c>
      <c r="E83" s="80" t="s">
        <v>404</v>
      </c>
      <c r="F83" s="80"/>
      <c r="G83" s="80" t="s">
        <v>279</v>
      </c>
      <c r="H83" s="80" t="s">
        <v>405</v>
      </c>
      <c r="I83" s="80" t="s">
        <v>406</v>
      </c>
      <c r="J83" s="80" t="s">
        <v>407</v>
      </c>
      <c r="K83" s="80" t="s">
        <v>350</v>
      </c>
      <c r="L83" s="80"/>
      <c r="M83" s="80" t="s">
        <v>408</v>
      </c>
      <c r="N83" s="80" t="s">
        <v>286</v>
      </c>
      <c r="O83" s="80" t="s">
        <v>350</v>
      </c>
      <c r="P83" s="80" t="s">
        <v>409</v>
      </c>
      <c r="Q83" s="80" t="s">
        <v>289</v>
      </c>
      <c r="R83" s="80" t="s">
        <v>410</v>
      </c>
      <c r="S83" s="189"/>
      <c r="T83" s="213"/>
      <c r="U83" s="189"/>
      <c r="V83" s="189"/>
      <c r="W83" s="214"/>
      <c r="X83" s="189" t="s">
        <v>794</v>
      </c>
      <c r="Y83" s="215"/>
      <c r="Z83" s="152"/>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31"/>
    </row>
    <row r="84" spans="1:54" ht="36" x14ac:dyDescent="0.2">
      <c r="A84" s="123">
        <v>24</v>
      </c>
      <c r="B84" s="81" t="s">
        <v>52</v>
      </c>
      <c r="C84" s="80" t="s">
        <v>413</v>
      </c>
      <c r="D84" s="80" t="s">
        <v>346</v>
      </c>
      <c r="E84" s="80" t="s">
        <v>404</v>
      </c>
      <c r="F84" s="80"/>
      <c r="G84" s="80" t="s">
        <v>279</v>
      </c>
      <c r="H84" s="80" t="s">
        <v>405</v>
      </c>
      <c r="I84" s="80" t="s">
        <v>406</v>
      </c>
      <c r="J84" s="80" t="s">
        <v>407</v>
      </c>
      <c r="K84" s="80" t="s">
        <v>350</v>
      </c>
      <c r="L84" s="80"/>
      <c r="M84" s="80" t="s">
        <v>408</v>
      </c>
      <c r="N84" s="80" t="s">
        <v>286</v>
      </c>
      <c r="O84" s="80" t="s">
        <v>350</v>
      </c>
      <c r="P84" s="80" t="s">
        <v>409</v>
      </c>
      <c r="Q84" s="80" t="s">
        <v>289</v>
      </c>
      <c r="R84" s="80" t="s">
        <v>410</v>
      </c>
      <c r="S84" s="189"/>
      <c r="T84" s="213"/>
      <c r="U84" s="189"/>
      <c r="V84" s="189"/>
      <c r="W84" s="214"/>
      <c r="X84" s="189" t="s">
        <v>794</v>
      </c>
      <c r="Y84" s="215"/>
      <c r="Z84" s="152"/>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31"/>
    </row>
    <row r="85" spans="1:54" ht="36" x14ac:dyDescent="0.2">
      <c r="A85" s="123">
        <v>25</v>
      </c>
      <c r="B85" s="81" t="s">
        <v>53</v>
      </c>
      <c r="C85" s="80" t="s">
        <v>414</v>
      </c>
      <c r="D85" s="80" t="s">
        <v>346</v>
      </c>
      <c r="E85" s="80" t="s">
        <v>404</v>
      </c>
      <c r="F85" s="80"/>
      <c r="G85" s="80" t="s">
        <v>306</v>
      </c>
      <c r="H85" s="80" t="s">
        <v>415</v>
      </c>
      <c r="I85" s="80" t="s">
        <v>416</v>
      </c>
      <c r="J85" s="80" t="s">
        <v>350</v>
      </c>
      <c r="K85" s="80" t="s">
        <v>350</v>
      </c>
      <c r="L85" s="80"/>
      <c r="M85" s="80" t="s">
        <v>285</v>
      </c>
      <c r="N85" s="80" t="s">
        <v>286</v>
      </c>
      <c r="O85" s="80" t="s">
        <v>350</v>
      </c>
      <c r="P85" s="80" t="s">
        <v>417</v>
      </c>
      <c r="Q85" s="80" t="s">
        <v>289</v>
      </c>
      <c r="R85" s="80"/>
      <c r="S85" s="189"/>
      <c r="T85" s="213"/>
      <c r="U85" s="189"/>
      <c r="V85" s="189" t="s">
        <v>794</v>
      </c>
      <c r="W85" s="214"/>
      <c r="X85" s="189"/>
      <c r="Y85" s="215"/>
      <c r="Z85" s="152"/>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31"/>
    </row>
    <row r="86" spans="1:54" ht="24" x14ac:dyDescent="0.2">
      <c r="A86" s="123">
        <v>26</v>
      </c>
      <c r="B86" s="80" t="s">
        <v>54</v>
      </c>
      <c r="C86" s="80" t="s">
        <v>418</v>
      </c>
      <c r="D86" s="80" t="s">
        <v>346</v>
      </c>
      <c r="E86" s="80" t="s">
        <v>419</v>
      </c>
      <c r="F86" s="80"/>
      <c r="G86" s="80" t="s">
        <v>384</v>
      </c>
      <c r="H86" s="80" t="s">
        <v>420</v>
      </c>
      <c r="I86" s="80" t="s">
        <v>350</v>
      </c>
      <c r="J86" s="80" t="s">
        <v>350</v>
      </c>
      <c r="K86" s="80" t="s">
        <v>350</v>
      </c>
      <c r="L86" s="80" t="s">
        <v>421</v>
      </c>
      <c r="M86" s="80" t="s">
        <v>285</v>
      </c>
      <c r="N86" s="80" t="s">
        <v>286</v>
      </c>
      <c r="O86" s="80" t="s">
        <v>350</v>
      </c>
      <c r="P86" s="80" t="s">
        <v>390</v>
      </c>
      <c r="Q86" s="80" t="s">
        <v>289</v>
      </c>
      <c r="R86" s="80"/>
      <c r="S86" s="189"/>
      <c r="T86" s="213"/>
      <c r="U86" s="189" t="s">
        <v>794</v>
      </c>
      <c r="V86" s="189"/>
      <c r="W86" s="214"/>
      <c r="X86" s="189"/>
      <c r="Y86" s="215"/>
      <c r="Z86" s="152"/>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31"/>
    </row>
    <row r="87" spans="1:54" ht="24" x14ac:dyDescent="0.2">
      <c r="A87" s="123">
        <v>27</v>
      </c>
      <c r="B87" s="81" t="s">
        <v>55</v>
      </c>
      <c r="C87" s="80" t="s">
        <v>422</v>
      </c>
      <c r="D87" s="80" t="s">
        <v>346</v>
      </c>
      <c r="E87" s="80" t="s">
        <v>419</v>
      </c>
      <c r="F87" s="80"/>
      <c r="G87" s="80" t="s">
        <v>384</v>
      </c>
      <c r="H87" s="80" t="s">
        <v>420</v>
      </c>
      <c r="I87" s="80" t="s">
        <v>350</v>
      </c>
      <c r="J87" s="80" t="s">
        <v>350</v>
      </c>
      <c r="K87" s="80" t="s">
        <v>350</v>
      </c>
      <c r="L87" s="80" t="s">
        <v>421</v>
      </c>
      <c r="M87" s="80" t="s">
        <v>285</v>
      </c>
      <c r="N87" s="80" t="s">
        <v>286</v>
      </c>
      <c r="O87" s="80" t="s">
        <v>350</v>
      </c>
      <c r="P87" s="80" t="s">
        <v>390</v>
      </c>
      <c r="Q87" s="80" t="s">
        <v>289</v>
      </c>
      <c r="R87" s="80"/>
      <c r="S87" s="189"/>
      <c r="T87" s="213"/>
      <c r="U87" s="189" t="s">
        <v>794</v>
      </c>
      <c r="V87" s="189"/>
      <c r="W87" s="214"/>
      <c r="X87" s="189"/>
      <c r="Y87" s="215"/>
      <c r="Z87" s="152"/>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31"/>
    </row>
    <row r="88" spans="1:54" ht="36" x14ac:dyDescent="0.2">
      <c r="A88" s="123">
        <v>28</v>
      </c>
      <c r="B88" s="81" t="s">
        <v>56</v>
      </c>
      <c r="C88" s="80" t="s">
        <v>423</v>
      </c>
      <c r="D88" s="80" t="s">
        <v>346</v>
      </c>
      <c r="E88" s="80" t="s">
        <v>419</v>
      </c>
      <c r="F88" s="80"/>
      <c r="G88" s="80" t="s">
        <v>384</v>
      </c>
      <c r="H88" s="80" t="s">
        <v>420</v>
      </c>
      <c r="I88" s="80" t="s">
        <v>350</v>
      </c>
      <c r="J88" s="80" t="s">
        <v>350</v>
      </c>
      <c r="K88" s="80" t="s">
        <v>350</v>
      </c>
      <c r="L88" s="80" t="s">
        <v>421</v>
      </c>
      <c r="M88" s="80" t="s">
        <v>285</v>
      </c>
      <c r="N88" s="80" t="s">
        <v>286</v>
      </c>
      <c r="O88" s="80" t="s">
        <v>424</v>
      </c>
      <c r="P88" s="80" t="s">
        <v>390</v>
      </c>
      <c r="Q88" s="80" t="s">
        <v>289</v>
      </c>
      <c r="R88" s="80"/>
      <c r="S88" s="189"/>
      <c r="T88" s="213"/>
      <c r="U88" s="189" t="s">
        <v>794</v>
      </c>
      <c r="V88" s="189"/>
      <c r="W88" s="214"/>
      <c r="X88" s="189"/>
      <c r="Y88" s="215"/>
      <c r="Z88" s="152"/>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31"/>
    </row>
    <row r="89" spans="1:54" ht="24" x14ac:dyDescent="0.2">
      <c r="A89" s="123">
        <v>29</v>
      </c>
      <c r="B89" s="81" t="s">
        <v>57</v>
      </c>
      <c r="C89" s="80" t="s">
        <v>425</v>
      </c>
      <c r="D89" s="80" t="s">
        <v>346</v>
      </c>
      <c r="E89" s="80" t="s">
        <v>419</v>
      </c>
      <c r="F89" s="80"/>
      <c r="G89" s="80" t="s">
        <v>384</v>
      </c>
      <c r="H89" s="80" t="s">
        <v>420</v>
      </c>
      <c r="I89" s="80" t="s">
        <v>350</v>
      </c>
      <c r="J89" s="80" t="s">
        <v>350</v>
      </c>
      <c r="K89" s="80" t="s">
        <v>350</v>
      </c>
      <c r="L89" s="80" t="s">
        <v>421</v>
      </c>
      <c r="M89" s="80" t="s">
        <v>285</v>
      </c>
      <c r="N89" s="80" t="s">
        <v>286</v>
      </c>
      <c r="O89" s="80" t="s">
        <v>350</v>
      </c>
      <c r="P89" s="80" t="s">
        <v>390</v>
      </c>
      <c r="Q89" s="80" t="s">
        <v>289</v>
      </c>
      <c r="R89" s="80"/>
      <c r="S89" s="189"/>
      <c r="T89" s="213"/>
      <c r="U89" s="189" t="s">
        <v>794</v>
      </c>
      <c r="V89" s="189"/>
      <c r="W89" s="214"/>
      <c r="X89" s="189"/>
      <c r="Y89" s="215"/>
      <c r="Z89" s="152"/>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31"/>
    </row>
    <row r="90" spans="1:54" ht="36" x14ac:dyDescent="0.2">
      <c r="A90" s="123">
        <v>30</v>
      </c>
      <c r="B90" s="81" t="s">
        <v>58</v>
      </c>
      <c r="C90" s="80" t="s">
        <v>426</v>
      </c>
      <c r="D90" s="80" t="s">
        <v>346</v>
      </c>
      <c r="E90" s="80" t="s">
        <v>427</v>
      </c>
      <c r="F90" s="80"/>
      <c r="G90" s="80" t="s">
        <v>306</v>
      </c>
      <c r="H90" s="80" t="s">
        <v>428</v>
      </c>
      <c r="I90" s="80" t="s">
        <v>429</v>
      </c>
      <c r="J90" s="80" t="s">
        <v>350</v>
      </c>
      <c r="K90" s="80" t="s">
        <v>350</v>
      </c>
      <c r="L90" s="80" t="s">
        <v>430</v>
      </c>
      <c r="M90" s="80" t="s">
        <v>285</v>
      </c>
      <c r="N90" s="80" t="s">
        <v>286</v>
      </c>
      <c r="O90" s="80" t="s">
        <v>350</v>
      </c>
      <c r="P90" s="80" t="s">
        <v>431</v>
      </c>
      <c r="Q90" s="80" t="s">
        <v>289</v>
      </c>
      <c r="R90" s="80"/>
      <c r="S90" s="189"/>
      <c r="T90" s="213"/>
      <c r="U90" s="189" t="s">
        <v>794</v>
      </c>
      <c r="V90" s="189"/>
      <c r="W90" s="214"/>
      <c r="X90" s="189"/>
      <c r="Y90" s="215"/>
      <c r="Z90" s="152"/>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31"/>
    </row>
    <row r="91" spans="1:54" ht="48" x14ac:dyDescent="0.2">
      <c r="A91" s="123">
        <v>31</v>
      </c>
      <c r="B91" s="81" t="s">
        <v>59</v>
      </c>
      <c r="C91" s="80" t="s">
        <v>432</v>
      </c>
      <c r="D91" s="80" t="s">
        <v>346</v>
      </c>
      <c r="E91" s="80" t="s">
        <v>427</v>
      </c>
      <c r="F91" s="80"/>
      <c r="G91" s="80" t="s">
        <v>306</v>
      </c>
      <c r="H91" s="80" t="s">
        <v>428</v>
      </c>
      <c r="I91" s="80" t="s">
        <v>433</v>
      </c>
      <c r="J91" s="80" t="s">
        <v>350</v>
      </c>
      <c r="K91" s="80" t="s">
        <v>350</v>
      </c>
      <c r="L91" s="80"/>
      <c r="M91" s="80" t="s">
        <v>285</v>
      </c>
      <c r="N91" s="80" t="s">
        <v>286</v>
      </c>
      <c r="O91" s="80" t="s">
        <v>350</v>
      </c>
      <c r="P91" s="80" t="s">
        <v>434</v>
      </c>
      <c r="Q91" s="80" t="s">
        <v>289</v>
      </c>
      <c r="R91" s="80"/>
      <c r="S91" s="189"/>
      <c r="T91" s="213"/>
      <c r="U91" s="189" t="s">
        <v>794</v>
      </c>
      <c r="V91" s="189"/>
      <c r="W91" s="214"/>
      <c r="X91" s="189"/>
      <c r="Y91" s="215"/>
      <c r="Z91" s="152"/>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31"/>
    </row>
    <row r="92" spans="1:54" ht="36" x14ac:dyDescent="0.2">
      <c r="A92" s="123">
        <v>32</v>
      </c>
      <c r="B92" s="81" t="s">
        <v>60</v>
      </c>
      <c r="C92" s="80" t="s">
        <v>435</v>
      </c>
      <c r="D92" s="80" t="s">
        <v>346</v>
      </c>
      <c r="E92" s="80" t="s">
        <v>427</v>
      </c>
      <c r="F92" s="80"/>
      <c r="G92" s="80" t="s">
        <v>306</v>
      </c>
      <c r="H92" s="80" t="s">
        <v>436</v>
      </c>
      <c r="I92" s="80" t="s">
        <v>437</v>
      </c>
      <c r="J92" s="80" t="s">
        <v>350</v>
      </c>
      <c r="K92" s="80" t="s">
        <v>350</v>
      </c>
      <c r="L92" s="80"/>
      <c r="M92" s="80" t="s">
        <v>285</v>
      </c>
      <c r="N92" s="80" t="s">
        <v>286</v>
      </c>
      <c r="O92" s="80" t="s">
        <v>350</v>
      </c>
      <c r="P92" s="80" t="s">
        <v>438</v>
      </c>
      <c r="Q92" s="80" t="s">
        <v>289</v>
      </c>
      <c r="R92" s="80"/>
      <c r="S92" s="189"/>
      <c r="T92" s="213"/>
      <c r="U92" s="189" t="s">
        <v>794</v>
      </c>
      <c r="V92" s="189"/>
      <c r="W92" s="214"/>
      <c r="X92" s="189"/>
      <c r="Y92" s="215"/>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31"/>
    </row>
    <row r="93" spans="1:54" s="563" customFormat="1" ht="36" x14ac:dyDescent="0.2">
      <c r="A93" s="11">
        <v>33</v>
      </c>
      <c r="B93" s="132" t="s">
        <v>61</v>
      </c>
      <c r="C93" s="132" t="s">
        <v>439</v>
      </c>
      <c r="D93" s="132" t="s">
        <v>346</v>
      </c>
      <c r="E93" s="132" t="s">
        <v>427</v>
      </c>
      <c r="F93" s="132"/>
      <c r="G93" s="132" t="s">
        <v>279</v>
      </c>
      <c r="H93" s="132" t="s">
        <v>978</v>
      </c>
      <c r="I93" s="132" t="s">
        <v>363</v>
      </c>
      <c r="J93" s="132" t="s">
        <v>364</v>
      </c>
      <c r="K93" s="132" t="s">
        <v>299</v>
      </c>
      <c r="L93" s="132"/>
      <c r="M93" s="132" t="s">
        <v>285</v>
      </c>
      <c r="N93" s="132" t="s">
        <v>286</v>
      </c>
      <c r="O93" s="132" t="s">
        <v>350</v>
      </c>
      <c r="P93" s="132" t="s">
        <v>409</v>
      </c>
      <c r="Q93" s="132" t="s">
        <v>289</v>
      </c>
      <c r="R93" s="132" t="s">
        <v>1014</v>
      </c>
      <c r="S93" s="189" t="s">
        <v>794</v>
      </c>
      <c r="T93" s="213" t="s">
        <v>794</v>
      </c>
      <c r="U93" s="189"/>
      <c r="V93" s="189"/>
      <c r="W93" s="214"/>
      <c r="X93" s="189"/>
      <c r="Y93" s="189"/>
      <c r="Z93" s="826" t="s">
        <v>3</v>
      </c>
      <c r="AA93" s="827"/>
      <c r="AB93" s="828"/>
      <c r="AC93" s="826" t="s">
        <v>4</v>
      </c>
      <c r="AD93" s="827"/>
      <c r="AE93" s="828"/>
      <c r="AF93" s="827" t="s">
        <v>5</v>
      </c>
      <c r="AG93" s="827"/>
      <c r="AH93" s="828"/>
      <c r="AI93" s="827" t="s">
        <v>251</v>
      </c>
      <c r="AJ93" s="827"/>
      <c r="AK93" s="828"/>
      <c r="AL93" s="827" t="s">
        <v>252</v>
      </c>
      <c r="AM93" s="827"/>
      <c r="AN93" s="828"/>
      <c r="AO93" s="827" t="s">
        <v>6</v>
      </c>
      <c r="AP93" s="827"/>
      <c r="AQ93" s="828"/>
      <c r="AR93" s="827" t="s">
        <v>8</v>
      </c>
      <c r="AS93" s="827"/>
      <c r="AT93" s="828"/>
      <c r="AU93" s="827" t="s">
        <v>7</v>
      </c>
      <c r="AV93" s="827"/>
      <c r="AW93" s="828"/>
      <c r="AX93" s="828" t="s">
        <v>799</v>
      </c>
      <c r="AY93" s="833"/>
      <c r="AZ93" s="833"/>
    </row>
    <row r="94" spans="1:54" s="563" customFormat="1" ht="15.75" x14ac:dyDescent="0.2">
      <c r="A94" s="11"/>
      <c r="B94" s="132"/>
      <c r="C94" s="132"/>
      <c r="D94" s="132"/>
      <c r="E94" s="132"/>
      <c r="F94" s="132"/>
      <c r="G94" s="132"/>
      <c r="H94" s="132"/>
      <c r="I94" s="132"/>
      <c r="J94" s="132"/>
      <c r="K94" s="132"/>
      <c r="L94" s="132"/>
      <c r="M94" s="132"/>
      <c r="N94" s="132"/>
      <c r="O94" s="132"/>
      <c r="P94" s="132"/>
      <c r="Q94" s="132"/>
      <c r="R94" s="132"/>
      <c r="S94" s="189"/>
      <c r="T94" s="213"/>
      <c r="U94" s="189"/>
      <c r="V94" s="189"/>
      <c r="W94" s="214"/>
      <c r="X94" s="189"/>
      <c r="Y94" s="189"/>
      <c r="Z94" s="699">
        <v>1996</v>
      </c>
      <c r="AA94" s="700">
        <v>2001</v>
      </c>
      <c r="AB94" s="679">
        <v>2011</v>
      </c>
      <c r="AC94" s="700">
        <v>1996</v>
      </c>
      <c r="AD94" s="700">
        <v>2001</v>
      </c>
      <c r="AE94" s="679">
        <v>2011</v>
      </c>
      <c r="AF94" s="700">
        <v>1996</v>
      </c>
      <c r="AG94" s="700">
        <v>2001</v>
      </c>
      <c r="AH94" s="701">
        <v>2011</v>
      </c>
      <c r="AI94" s="700">
        <v>1996</v>
      </c>
      <c r="AJ94" s="700">
        <v>2001</v>
      </c>
      <c r="AK94" s="679">
        <v>2011</v>
      </c>
      <c r="AL94" s="700">
        <v>1996</v>
      </c>
      <c r="AM94" s="700">
        <v>2001</v>
      </c>
      <c r="AN94" s="679">
        <v>2011</v>
      </c>
      <c r="AO94" s="700">
        <v>1996</v>
      </c>
      <c r="AP94" s="700">
        <v>2001</v>
      </c>
      <c r="AQ94" s="679">
        <v>2011</v>
      </c>
      <c r="AR94" s="700">
        <v>1996</v>
      </c>
      <c r="AS94" s="700">
        <v>2001</v>
      </c>
      <c r="AT94" s="679">
        <v>2011</v>
      </c>
      <c r="AU94" s="700">
        <v>1996</v>
      </c>
      <c r="AV94" s="700">
        <v>2001</v>
      </c>
      <c r="AW94" s="679">
        <v>2011</v>
      </c>
      <c r="AX94" s="677">
        <v>1996</v>
      </c>
      <c r="AY94" s="677">
        <v>2001</v>
      </c>
      <c r="AZ94" s="679">
        <v>2011</v>
      </c>
    </row>
    <row r="95" spans="1:54" s="563" customFormat="1" ht="15.75" x14ac:dyDescent="0.2">
      <c r="A95" s="11"/>
      <c r="B95" s="132"/>
      <c r="C95" s="132"/>
      <c r="D95" s="132"/>
      <c r="E95" s="132"/>
      <c r="F95" s="132"/>
      <c r="G95" s="132"/>
      <c r="H95" s="132"/>
      <c r="I95" s="132"/>
      <c r="J95" s="132"/>
      <c r="K95" s="132"/>
      <c r="L95" s="132"/>
      <c r="M95" s="132"/>
      <c r="N95" s="132"/>
      <c r="O95" s="132"/>
      <c r="P95" s="132"/>
      <c r="Q95" s="132"/>
      <c r="R95" s="132"/>
      <c r="S95" s="189"/>
      <c r="T95" s="213"/>
      <c r="U95" s="189"/>
      <c r="V95" s="189"/>
      <c r="W95" s="214"/>
      <c r="X95" s="189"/>
      <c r="Y95" s="189"/>
      <c r="Z95" s="636" t="s">
        <v>26</v>
      </c>
      <c r="AA95" s="635" t="s">
        <v>26</v>
      </c>
      <c r="AB95" s="568">
        <v>303942</v>
      </c>
      <c r="AC95" s="635" t="s">
        <v>26</v>
      </c>
      <c r="AD95" s="635" t="s">
        <v>26</v>
      </c>
      <c r="AE95" s="568">
        <v>172677</v>
      </c>
      <c r="AF95" s="636" t="s">
        <v>26</v>
      </c>
      <c r="AG95" s="635" t="s">
        <v>26</v>
      </c>
      <c r="AH95" s="568">
        <v>363753</v>
      </c>
      <c r="AI95" s="636" t="s">
        <v>26</v>
      </c>
      <c r="AJ95" s="635" t="s">
        <v>26</v>
      </c>
      <c r="AK95" s="568">
        <v>256971</v>
      </c>
      <c r="AL95" s="635" t="s">
        <v>26</v>
      </c>
      <c r="AM95" s="635" t="s">
        <v>26</v>
      </c>
      <c r="AN95" s="568">
        <v>154995</v>
      </c>
      <c r="AO95" s="635" t="s">
        <v>26</v>
      </c>
      <c r="AP95" s="635" t="s">
        <v>26</v>
      </c>
      <c r="AQ95" s="568">
        <v>76332</v>
      </c>
      <c r="AR95" s="635" t="s">
        <v>26</v>
      </c>
      <c r="AS95" s="635" t="s">
        <v>26</v>
      </c>
      <c r="AT95" s="568">
        <v>32640</v>
      </c>
      <c r="AU95" s="635" t="s">
        <v>26</v>
      </c>
      <c r="AV95" s="635" t="s">
        <v>26</v>
      </c>
      <c r="AW95" s="568">
        <v>26898</v>
      </c>
      <c r="AX95" s="635" t="s">
        <v>26</v>
      </c>
      <c r="AY95" s="635" t="s">
        <v>26</v>
      </c>
      <c r="AZ95" s="669" t="s">
        <v>26</v>
      </c>
    </row>
    <row r="96" spans="1:54" s="563" customFormat="1" ht="36" customHeight="1" x14ac:dyDescent="0.2">
      <c r="A96" s="11">
        <v>34</v>
      </c>
      <c r="B96" s="132" t="s">
        <v>62</v>
      </c>
      <c r="C96" s="132" t="s">
        <v>440</v>
      </c>
      <c r="D96" s="132" t="s">
        <v>346</v>
      </c>
      <c r="E96" s="132" t="s">
        <v>441</v>
      </c>
      <c r="F96" s="132"/>
      <c r="G96" s="132" t="s">
        <v>279</v>
      </c>
      <c r="H96" s="132" t="s">
        <v>979</v>
      </c>
      <c r="I96" s="132" t="s">
        <v>363</v>
      </c>
      <c r="J96" s="132" t="s">
        <v>364</v>
      </c>
      <c r="K96" s="132" t="s">
        <v>299</v>
      </c>
      <c r="L96" s="132"/>
      <c r="M96" s="132" t="s">
        <v>285</v>
      </c>
      <c r="N96" s="132" t="s">
        <v>286</v>
      </c>
      <c r="O96" s="132" t="s">
        <v>350</v>
      </c>
      <c r="P96" s="132" t="s">
        <v>409</v>
      </c>
      <c r="Q96" s="132" t="s">
        <v>289</v>
      </c>
      <c r="R96" s="132" t="s">
        <v>977</v>
      </c>
      <c r="S96" s="189" t="s">
        <v>794</v>
      </c>
      <c r="T96" s="213" t="s">
        <v>794</v>
      </c>
      <c r="U96" s="189"/>
      <c r="V96" s="189"/>
      <c r="W96" s="214"/>
      <c r="X96" s="189"/>
      <c r="Y96" s="189"/>
      <c r="Z96" s="637" t="s">
        <v>26</v>
      </c>
      <c r="AA96" s="494" t="s">
        <v>26</v>
      </c>
      <c r="AB96" s="569">
        <v>1354284</v>
      </c>
      <c r="AC96" s="637" t="s">
        <v>26</v>
      </c>
      <c r="AD96" s="494" t="s">
        <v>26</v>
      </c>
      <c r="AE96" s="569">
        <v>865551</v>
      </c>
      <c r="AF96" s="637" t="s">
        <v>26</v>
      </c>
      <c r="AG96" s="494" t="s">
        <v>26</v>
      </c>
      <c r="AH96" s="569">
        <v>976083</v>
      </c>
      <c r="AI96" s="494" t="s">
        <v>26</v>
      </c>
      <c r="AJ96" s="494" t="s">
        <v>26</v>
      </c>
      <c r="AK96" s="569">
        <v>867804</v>
      </c>
      <c r="AL96" s="637" t="s">
        <v>26</v>
      </c>
      <c r="AM96" s="494" t="s">
        <v>26</v>
      </c>
      <c r="AN96" s="569">
        <v>947637</v>
      </c>
      <c r="AO96" s="637" t="s">
        <v>26</v>
      </c>
      <c r="AP96" s="494" t="s">
        <v>26</v>
      </c>
      <c r="AQ96" s="569">
        <v>277155</v>
      </c>
      <c r="AR96" s="637" t="s">
        <v>26</v>
      </c>
      <c r="AS96" s="494" t="s">
        <v>26</v>
      </c>
      <c r="AT96" s="569">
        <v>193053</v>
      </c>
      <c r="AU96" s="637" t="s">
        <v>26</v>
      </c>
      <c r="AV96" s="494" t="s">
        <v>26</v>
      </c>
      <c r="AW96" s="569">
        <v>207645</v>
      </c>
      <c r="AX96" s="637" t="s">
        <v>26</v>
      </c>
      <c r="AY96" s="494" t="s">
        <v>26</v>
      </c>
      <c r="AZ96" s="670" t="s">
        <v>26</v>
      </c>
      <c r="BA96" s="60"/>
      <c r="BB96" s="60"/>
    </row>
    <row r="97" spans="1:54" s="16" customFormat="1" ht="36.75" customHeight="1" x14ac:dyDescent="0.2">
      <c r="A97" s="564">
        <v>35</v>
      </c>
      <c r="B97" s="564" t="s">
        <v>63</v>
      </c>
      <c r="C97" s="564" t="s">
        <v>442</v>
      </c>
      <c r="D97" s="564" t="s">
        <v>346</v>
      </c>
      <c r="E97" s="564" t="s">
        <v>441</v>
      </c>
      <c r="F97" s="564"/>
      <c r="G97" s="564" t="s">
        <v>279</v>
      </c>
      <c r="H97" s="564" t="s">
        <v>979</v>
      </c>
      <c r="I97" s="564" t="s">
        <v>363</v>
      </c>
      <c r="J97" s="564" t="s">
        <v>364</v>
      </c>
      <c r="K97" s="564" t="s">
        <v>299</v>
      </c>
      <c r="L97" s="564"/>
      <c r="M97" s="564" t="s">
        <v>285</v>
      </c>
      <c r="N97" s="564" t="s">
        <v>286</v>
      </c>
      <c r="O97" s="564" t="s">
        <v>350</v>
      </c>
      <c r="P97" s="564" t="s">
        <v>409</v>
      </c>
      <c r="Q97" s="564" t="s">
        <v>289</v>
      </c>
      <c r="R97" s="565" t="s">
        <v>980</v>
      </c>
      <c r="S97" s="191" t="s">
        <v>794</v>
      </c>
      <c r="T97" s="219" t="s">
        <v>794</v>
      </c>
      <c r="U97" s="191"/>
      <c r="V97" s="191"/>
      <c r="W97" s="220"/>
      <c r="X97" s="191"/>
      <c r="Y97" s="191"/>
      <c r="Z97" s="672" t="s">
        <v>26</v>
      </c>
      <c r="AA97" s="671" t="s">
        <v>26</v>
      </c>
      <c r="AB97" s="673">
        <v>711069</v>
      </c>
      <c r="AC97" s="672" t="s">
        <v>26</v>
      </c>
      <c r="AD97" s="671" t="s">
        <v>26</v>
      </c>
      <c r="AE97" s="673">
        <v>468852</v>
      </c>
      <c r="AF97" s="671" t="s">
        <v>26</v>
      </c>
      <c r="AG97" s="671" t="s">
        <v>26</v>
      </c>
      <c r="AH97" s="673">
        <v>526437</v>
      </c>
      <c r="AI97" s="672" t="s">
        <v>26</v>
      </c>
      <c r="AJ97" s="671" t="s">
        <v>26</v>
      </c>
      <c r="AK97" s="673">
        <v>394422</v>
      </c>
      <c r="AL97" s="672" t="s">
        <v>26</v>
      </c>
      <c r="AM97" s="671" t="s">
        <v>26</v>
      </c>
      <c r="AN97" s="673">
        <v>432219</v>
      </c>
      <c r="AO97" s="672" t="s">
        <v>26</v>
      </c>
      <c r="AP97" s="671" t="s">
        <v>26</v>
      </c>
      <c r="AQ97" s="673">
        <v>112836</v>
      </c>
      <c r="AR97" s="671" t="s">
        <v>26</v>
      </c>
      <c r="AS97" s="671" t="s">
        <v>26</v>
      </c>
      <c r="AT97" s="673">
        <v>73659</v>
      </c>
      <c r="AU97" s="672" t="s">
        <v>26</v>
      </c>
      <c r="AV97" s="671" t="s">
        <v>26</v>
      </c>
      <c r="AW97" s="673">
        <v>88350</v>
      </c>
      <c r="AX97" s="672" t="s">
        <v>26</v>
      </c>
      <c r="AY97" s="671" t="s">
        <v>26</v>
      </c>
      <c r="AZ97" s="674" t="s">
        <v>26</v>
      </c>
      <c r="BA97" s="4"/>
      <c r="BB97" s="4"/>
    </row>
    <row r="98" spans="1:54" ht="24" customHeight="1" x14ac:dyDescent="0.2">
      <c r="A98" s="123"/>
      <c r="B98" s="123"/>
      <c r="C98" s="80"/>
      <c r="D98" s="80"/>
      <c r="E98" s="80"/>
      <c r="F98" s="80"/>
      <c r="G98" s="80"/>
      <c r="H98" s="80"/>
      <c r="I98" s="80"/>
      <c r="J98" s="80"/>
      <c r="K98" s="80"/>
      <c r="L98" s="80"/>
      <c r="M98" s="80"/>
      <c r="N98" s="80"/>
      <c r="O98" s="80"/>
      <c r="P98" s="80"/>
      <c r="Q98" s="80"/>
      <c r="R98" s="80"/>
      <c r="T98" s="221"/>
      <c r="U98" s="221"/>
      <c r="V98" s="221"/>
      <c r="W98" s="221"/>
      <c r="X98" s="221"/>
      <c r="Y98" s="221"/>
      <c r="AB98" s="7"/>
      <c r="AC98" s="7"/>
      <c r="AH98" s="7"/>
      <c r="AT98" s="7"/>
      <c r="AX98" s="494"/>
    </row>
    <row r="99" spans="1:54" ht="36" customHeight="1" x14ac:dyDescent="0.2">
      <c r="A99" s="123"/>
      <c r="B99" s="128" t="s">
        <v>65</v>
      </c>
      <c r="C99" s="80"/>
      <c r="D99" s="80"/>
      <c r="E99" s="80"/>
      <c r="F99" s="80"/>
      <c r="G99" s="80"/>
      <c r="H99" s="80"/>
      <c r="I99" s="80"/>
      <c r="J99" s="80"/>
      <c r="K99" s="80"/>
      <c r="L99" s="80"/>
      <c r="M99" s="80"/>
      <c r="N99" s="80"/>
      <c r="O99" s="80"/>
      <c r="P99" s="80"/>
      <c r="Q99" s="80"/>
      <c r="R99" s="80"/>
    </row>
    <row r="100" spans="1:54" ht="12" customHeight="1" x14ac:dyDescent="0.2">
      <c r="A100" s="123"/>
      <c r="B100" s="127" t="s">
        <v>66</v>
      </c>
      <c r="C100" s="80"/>
      <c r="D100" s="80"/>
      <c r="E100" s="80"/>
      <c r="F100" s="80"/>
      <c r="G100" s="80"/>
      <c r="H100" s="80"/>
      <c r="I100" s="80"/>
      <c r="J100" s="80"/>
      <c r="K100" s="80"/>
      <c r="L100" s="80"/>
      <c r="M100" s="80"/>
      <c r="N100" s="80"/>
      <c r="O100" s="80"/>
      <c r="P100" s="80"/>
      <c r="Q100" s="80"/>
      <c r="R100" s="80"/>
    </row>
    <row r="101" spans="1:54" ht="12" customHeight="1" x14ac:dyDescent="0.2">
      <c r="A101" s="123"/>
      <c r="B101" s="127" t="s">
        <v>68</v>
      </c>
      <c r="C101" s="80"/>
      <c r="D101" s="80"/>
      <c r="E101" s="80"/>
      <c r="F101" s="80"/>
      <c r="G101" s="80"/>
      <c r="H101" s="80"/>
      <c r="I101" s="80"/>
      <c r="J101" s="80"/>
      <c r="K101" s="80"/>
      <c r="L101" s="80"/>
      <c r="M101" s="80"/>
      <c r="N101" s="80"/>
      <c r="O101" s="80"/>
      <c r="P101" s="80"/>
      <c r="Q101" s="80"/>
      <c r="R101" s="81"/>
    </row>
    <row r="102" spans="1:54" ht="12" customHeight="1" x14ac:dyDescent="0.2">
      <c r="C102" s="81"/>
      <c r="D102" s="81"/>
      <c r="E102" s="81"/>
      <c r="F102" s="81"/>
      <c r="G102" s="81"/>
      <c r="H102" s="81"/>
      <c r="I102" s="81"/>
      <c r="J102" s="81"/>
      <c r="K102" s="81"/>
      <c r="L102" s="81"/>
      <c r="M102" s="81"/>
      <c r="N102" s="81"/>
      <c r="O102" s="81"/>
      <c r="P102" s="81"/>
      <c r="Q102" s="81"/>
      <c r="R102" s="81"/>
    </row>
    <row r="103" spans="1:54" ht="12" customHeight="1" x14ac:dyDescent="0.2">
      <c r="C103" s="81"/>
      <c r="D103" s="81"/>
      <c r="E103" s="81"/>
      <c r="F103" s="81"/>
      <c r="G103" s="81"/>
      <c r="H103" s="81"/>
      <c r="I103" s="81"/>
      <c r="J103" s="81"/>
      <c r="K103" s="81"/>
      <c r="L103" s="81"/>
      <c r="M103" s="81"/>
      <c r="N103" s="81"/>
      <c r="O103" s="81"/>
      <c r="P103" s="81"/>
      <c r="Q103" s="81"/>
      <c r="R103" s="81"/>
    </row>
    <row r="104" spans="1:54" ht="12" customHeight="1" x14ac:dyDescent="0.2">
      <c r="C104" s="81"/>
      <c r="D104" s="81"/>
      <c r="E104" s="81"/>
      <c r="F104" s="81"/>
      <c r="G104" s="81"/>
      <c r="H104" s="81"/>
      <c r="I104" s="81"/>
      <c r="J104" s="81"/>
      <c r="K104" s="81"/>
      <c r="L104" s="81"/>
      <c r="M104" s="81"/>
      <c r="N104" s="81"/>
      <c r="O104" s="81"/>
      <c r="P104" s="81"/>
      <c r="Q104" s="81"/>
      <c r="R104" s="81"/>
      <c r="AW104" s="16"/>
    </row>
    <row r="105" spans="1:54" ht="12" customHeight="1" x14ac:dyDescent="0.2">
      <c r="C105" s="132"/>
      <c r="D105" s="131"/>
      <c r="E105" s="131"/>
      <c r="F105" s="131"/>
      <c r="G105" s="131"/>
      <c r="H105" s="131"/>
      <c r="I105" s="131"/>
      <c r="J105" s="131"/>
      <c r="K105" s="131"/>
      <c r="L105" s="131"/>
      <c r="M105" s="131"/>
      <c r="N105" s="131"/>
      <c r="O105" s="131"/>
      <c r="P105" s="131"/>
      <c r="Q105" s="132"/>
      <c r="R105" s="132"/>
    </row>
    <row r="106" spans="1:54" ht="12" customHeight="1" x14ac:dyDescent="0.2">
      <c r="C106" s="132"/>
      <c r="D106" s="131"/>
      <c r="E106" s="131"/>
      <c r="F106" s="131"/>
      <c r="G106" s="131"/>
      <c r="H106" s="131"/>
      <c r="I106" s="131"/>
      <c r="J106" s="131"/>
      <c r="K106" s="131"/>
      <c r="L106" s="131"/>
      <c r="M106" s="131"/>
      <c r="N106" s="131"/>
      <c r="O106" s="131"/>
      <c r="P106" s="131"/>
      <c r="Q106" s="132"/>
      <c r="R106" s="132"/>
    </row>
    <row r="107" spans="1:54" ht="12" customHeight="1" x14ac:dyDescent="0.2">
      <c r="C107" s="11"/>
      <c r="D107" s="10"/>
      <c r="E107" s="10"/>
      <c r="F107" s="10"/>
      <c r="G107" s="10"/>
      <c r="H107" s="10"/>
      <c r="I107" s="10"/>
      <c r="J107" s="10"/>
      <c r="K107" s="10"/>
      <c r="L107" s="10"/>
      <c r="M107" s="10"/>
      <c r="N107" s="10"/>
      <c r="O107" s="10"/>
      <c r="P107" s="10"/>
      <c r="Q107" s="11"/>
      <c r="R107" s="11"/>
    </row>
    <row r="108" spans="1:54" ht="12" customHeight="1" x14ac:dyDescent="0.2">
      <c r="C108" s="123"/>
      <c r="D108" s="123"/>
      <c r="E108" s="123"/>
      <c r="F108" s="123"/>
      <c r="G108" s="123"/>
      <c r="H108" s="123"/>
      <c r="I108" s="123"/>
      <c r="J108" s="123"/>
      <c r="K108" s="123"/>
      <c r="L108" s="123"/>
      <c r="M108" s="123"/>
      <c r="N108" s="123"/>
      <c r="O108" s="123"/>
      <c r="P108" s="123"/>
      <c r="Q108" s="123"/>
      <c r="R108" s="123"/>
    </row>
    <row r="109" spans="1:54" ht="12" customHeight="1" x14ac:dyDescent="0.2">
      <c r="C109" s="128"/>
      <c r="D109" s="128"/>
      <c r="E109" s="128"/>
      <c r="F109" s="128"/>
      <c r="G109" s="128"/>
      <c r="H109" s="128"/>
      <c r="I109" s="128"/>
      <c r="J109" s="128"/>
      <c r="K109" s="128"/>
      <c r="L109" s="128"/>
      <c r="M109" s="128"/>
      <c r="N109" s="128"/>
      <c r="O109" s="128"/>
      <c r="P109" s="128"/>
      <c r="Q109" s="128"/>
      <c r="R109" s="128"/>
    </row>
    <row r="110" spans="1:54" x14ac:dyDescent="0.2">
      <c r="C110" s="127"/>
      <c r="D110" s="123"/>
      <c r="E110" s="123"/>
      <c r="F110" s="123"/>
      <c r="G110" s="123"/>
      <c r="H110" s="123"/>
      <c r="I110" s="123"/>
      <c r="J110" s="123"/>
      <c r="K110" s="123"/>
      <c r="L110" s="123"/>
      <c r="M110" s="123"/>
      <c r="N110" s="123"/>
      <c r="O110" s="123"/>
      <c r="P110" s="123"/>
      <c r="Q110" s="127"/>
      <c r="R110" s="127"/>
    </row>
    <row r="111" spans="1:54" x14ac:dyDescent="0.2">
      <c r="C111" s="127"/>
      <c r="D111" s="123"/>
      <c r="E111" s="123"/>
      <c r="F111" s="123"/>
      <c r="G111" s="123"/>
      <c r="H111" s="123"/>
      <c r="I111" s="123"/>
      <c r="J111" s="123"/>
      <c r="K111" s="123"/>
      <c r="L111" s="123"/>
      <c r="M111" s="123"/>
      <c r="N111" s="123"/>
      <c r="O111" s="123"/>
      <c r="P111" s="123"/>
      <c r="Q111" s="127"/>
      <c r="R111" s="127"/>
    </row>
  </sheetData>
  <mergeCells count="27">
    <mergeCell ref="AO56:AQ56"/>
    <mergeCell ref="AR56:AT56"/>
    <mergeCell ref="AU56:AW56"/>
    <mergeCell ref="AX56:AZ56"/>
    <mergeCell ref="Z56:AB56"/>
    <mergeCell ref="AC56:AE56"/>
    <mergeCell ref="AF56:AH56"/>
    <mergeCell ref="AI56:AK56"/>
    <mergeCell ref="AL56:AN56"/>
    <mergeCell ref="AO93:AQ93"/>
    <mergeCell ref="AR93:AT93"/>
    <mergeCell ref="AU93:AW93"/>
    <mergeCell ref="AX93:AZ93"/>
    <mergeCell ref="Z93:AB93"/>
    <mergeCell ref="AC93:AE93"/>
    <mergeCell ref="AF93:AH93"/>
    <mergeCell ref="AI93:AK93"/>
    <mergeCell ref="AL93:AN93"/>
    <mergeCell ref="AX42:AZ42"/>
    <mergeCell ref="AR42:AT42"/>
    <mergeCell ref="AU42:AW42"/>
    <mergeCell ref="Z42:AB42"/>
    <mergeCell ref="AC42:AE42"/>
    <mergeCell ref="AF42:AH42"/>
    <mergeCell ref="AI42:AK42"/>
    <mergeCell ref="AL42:AN42"/>
    <mergeCell ref="AO42:AQ4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28"/>
  <sheetViews>
    <sheetView zoomScale="85" zoomScaleNormal="85" workbookViewId="0">
      <pane xSplit="2" ySplit="10" topLeftCell="C188" activePane="bottomRight" state="frozen"/>
      <selection pane="topRight" activeCell="C1" sqref="C1"/>
      <selection pane="bottomLeft" activeCell="A11" sqref="A11"/>
      <selection pane="bottomRight" activeCell="AE204" sqref="AE204"/>
    </sheetView>
  </sheetViews>
  <sheetFormatPr defaultRowHeight="15" outlineLevelCol="1" x14ac:dyDescent="0.25"/>
  <cols>
    <col min="1" max="1" width="3" style="3" bestFit="1" customWidth="1"/>
    <col min="2" max="2" width="30.140625" bestFit="1" customWidth="1"/>
    <col min="3" max="3" width="15" customWidth="1"/>
    <col min="4" max="4" width="29.7109375" customWidth="1"/>
    <col min="5" max="5" width="12.42578125" customWidth="1" outlineLevel="1"/>
    <col min="6" max="6" width="11.28515625" customWidth="1" outlineLevel="1"/>
    <col min="7" max="7" width="11.140625" customWidth="1" outlineLevel="1"/>
    <col min="8" max="8" width="15.42578125" customWidth="1" outlineLevel="1"/>
    <col min="9" max="9" width="13.28515625" customWidth="1" outlineLevel="1"/>
    <col min="10" max="10" width="32" customWidth="1"/>
    <col min="11" max="11" width="33" customWidth="1" outlineLevel="1"/>
    <col min="12" max="12" width="18.5703125" customWidth="1"/>
    <col min="13" max="13" width="13.5703125" customWidth="1" outlineLevel="1"/>
    <col min="14" max="14" width="10.85546875" customWidth="1" outlineLevel="1"/>
    <col min="15" max="15" width="13.28515625" customWidth="1" outlineLevel="1"/>
    <col min="16" max="16" width="10.7109375" customWidth="1" outlineLevel="1"/>
    <col min="17" max="17" width="13.7109375" customWidth="1" outlineLevel="1"/>
    <col min="18" max="19" width="24.7109375" customWidth="1"/>
    <col min="20" max="20" width="40.5703125" customWidth="1"/>
    <col min="21" max="21" width="11" style="3" customWidth="1" outlineLevel="1"/>
    <col min="22" max="27" width="9.7109375" style="3" customWidth="1"/>
    <col min="28" max="29" width="12.28515625" customWidth="1"/>
    <col min="30" max="31" width="12.7109375" customWidth="1"/>
    <col min="32" max="33" width="12.140625" customWidth="1"/>
    <col min="34" max="35" width="12.28515625" customWidth="1"/>
    <col min="36" max="37" width="12.140625" customWidth="1"/>
    <col min="38" max="39" width="11.85546875" customWidth="1"/>
    <col min="40" max="40" width="10.85546875" customWidth="1"/>
    <col min="41" max="41" width="12.85546875" customWidth="1"/>
    <col min="42" max="42" width="10.28515625" customWidth="1"/>
    <col min="43" max="43" width="11.140625" customWidth="1"/>
    <col min="44" max="44" width="11.85546875" customWidth="1"/>
    <col min="45" max="46" width="10.7109375" customWidth="1"/>
    <col min="47" max="47" width="11" customWidth="1"/>
    <col min="48" max="48" width="9.28515625" customWidth="1"/>
    <col min="49" max="49" width="12.28515625" customWidth="1"/>
    <col min="50" max="50" width="12.140625" customWidth="1"/>
    <col min="51" max="51" width="12.28515625" customWidth="1"/>
    <col min="52" max="52" width="11.7109375" customWidth="1"/>
    <col min="53" max="53" width="11.28515625" customWidth="1"/>
    <col min="54" max="54" width="11.5703125" customWidth="1"/>
    <col min="55" max="57" width="9.140625" customWidth="1"/>
  </cols>
  <sheetData>
    <row r="1" spans="1:60" s="1" customFormat="1" ht="8.2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60" s="1" customFormat="1"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0" s="1" customFormat="1" ht="8.2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60" s="1" customFormat="1" ht="13.5" customHeight="1" x14ac:dyDescent="0.3">
      <c r="A4" s="2"/>
      <c r="B4" s="116" t="s">
        <v>0</v>
      </c>
      <c r="C4" s="116"/>
      <c r="D4" s="116"/>
      <c r="E4" s="116"/>
      <c r="F4" s="116"/>
      <c r="G4" s="116"/>
      <c r="H4" s="116"/>
      <c r="I4" s="116"/>
      <c r="J4" s="116"/>
      <c r="K4" s="116"/>
      <c r="L4" s="116"/>
      <c r="M4" s="116"/>
      <c r="N4" s="116"/>
      <c r="O4" s="116"/>
      <c r="P4" s="116"/>
      <c r="Q4" s="116"/>
      <c r="R4" s="116"/>
      <c r="S4" s="116"/>
      <c r="T4" s="116"/>
      <c r="U4" s="117"/>
      <c r="V4" s="134"/>
      <c r="W4" s="134"/>
      <c r="X4" s="134"/>
      <c r="Y4" s="134"/>
      <c r="Z4" s="134"/>
      <c r="AA4" s="134"/>
      <c r="AB4" s="134"/>
      <c r="AC4" s="134"/>
      <c r="AD4" s="134"/>
      <c r="AE4" s="134"/>
      <c r="AF4" s="266"/>
      <c r="AG4" s="266"/>
      <c r="AH4" s="134"/>
      <c r="AI4" s="134"/>
      <c r="AJ4" s="266"/>
      <c r="AK4" s="266"/>
      <c r="AL4" s="266"/>
      <c r="AM4" s="266"/>
      <c r="AN4" s="266"/>
      <c r="AO4" s="266"/>
      <c r="AP4" s="266"/>
      <c r="AQ4" s="266"/>
      <c r="AR4" s="266"/>
      <c r="AS4" s="266"/>
      <c r="AT4" s="266"/>
      <c r="AU4" s="266"/>
      <c r="AV4" s="134"/>
      <c r="AW4" s="134"/>
      <c r="AX4" s="134"/>
      <c r="AY4" s="134"/>
      <c r="AZ4" s="134"/>
      <c r="BA4" s="134"/>
      <c r="BB4" s="134"/>
      <c r="BC4" s="134"/>
      <c r="BD4" s="134"/>
      <c r="BE4" s="134"/>
    </row>
    <row r="5" spans="1:60" s="1" customFormat="1" hidden="1" x14ac:dyDescent="0.25">
      <c r="A5" s="2"/>
      <c r="B5" s="133" t="s">
        <v>159</v>
      </c>
      <c r="C5" s="133"/>
      <c r="D5" s="133"/>
      <c r="E5" s="133"/>
      <c r="F5" s="133"/>
      <c r="G5" s="133"/>
      <c r="H5" s="133"/>
      <c r="I5" s="133"/>
      <c r="J5" s="133"/>
      <c r="K5" s="133"/>
      <c r="L5" s="133"/>
      <c r="M5" s="133"/>
      <c r="N5" s="133"/>
      <c r="O5" s="133"/>
      <c r="P5" s="133"/>
      <c r="Q5" s="133"/>
      <c r="R5" s="133"/>
      <c r="S5" s="133"/>
      <c r="T5" s="133"/>
      <c r="U5" s="117"/>
      <c r="V5" s="134"/>
      <c r="W5" s="134"/>
      <c r="X5" s="134"/>
      <c r="Y5" s="134"/>
      <c r="Z5" s="134"/>
      <c r="AA5" s="134"/>
      <c r="AB5" s="134"/>
      <c r="AC5" s="134"/>
      <c r="AD5" s="134"/>
      <c r="AE5" s="134"/>
      <c r="AF5" s="134"/>
      <c r="AG5" s="134"/>
      <c r="AH5" s="134"/>
      <c r="AI5" s="134"/>
      <c r="AJ5" s="267"/>
      <c r="AK5" s="267"/>
      <c r="AL5" s="267"/>
      <c r="AM5" s="267"/>
      <c r="AN5" s="267"/>
      <c r="AO5" s="267"/>
      <c r="AP5" s="267"/>
      <c r="AQ5" s="267"/>
      <c r="AR5" s="267"/>
      <c r="AS5" s="267"/>
      <c r="AT5" s="267"/>
      <c r="AU5" s="267"/>
      <c r="AV5" s="134"/>
      <c r="AW5" s="134"/>
      <c r="AX5" s="134"/>
      <c r="AY5" s="134"/>
      <c r="AZ5" s="134"/>
      <c r="BA5" s="134"/>
      <c r="BB5" s="134"/>
      <c r="BC5" s="134"/>
      <c r="BD5" s="134"/>
      <c r="BE5" s="134"/>
    </row>
    <row r="6" spans="1:60" s="1" customFormat="1" ht="8.25" hidden="1"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60" s="1" customFormat="1" ht="8.25" hidden="1" customHeight="1" x14ac:dyDescent="0.25">
      <c r="A7" s="2"/>
      <c r="B7" s="2"/>
      <c r="C7" s="2"/>
      <c r="D7" s="2"/>
      <c r="E7" s="2"/>
      <c r="F7" s="2"/>
      <c r="G7" s="2"/>
      <c r="H7" s="2"/>
      <c r="I7" s="2"/>
      <c r="J7" s="2"/>
      <c r="K7" s="2"/>
      <c r="L7" s="2"/>
      <c r="M7" s="2"/>
      <c r="N7" s="2"/>
      <c r="O7" s="2"/>
      <c r="P7" s="2"/>
      <c r="Q7" s="2"/>
      <c r="R7" s="2"/>
      <c r="S7" s="2"/>
      <c r="T7" s="2"/>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row>
    <row r="8" spans="1:60" s="194" customFormat="1" x14ac:dyDescent="0.25">
      <c r="A8" s="192"/>
      <c r="B8" s="192"/>
      <c r="C8" s="192"/>
      <c r="D8" s="192"/>
      <c r="E8" s="192"/>
      <c r="F8" s="192"/>
      <c r="G8" s="192"/>
      <c r="H8" s="192"/>
      <c r="I8" s="192"/>
      <c r="J8" s="192"/>
      <c r="K8" s="192"/>
      <c r="L8" s="192"/>
      <c r="M8" s="192"/>
      <c r="N8" s="192"/>
      <c r="O8" s="192"/>
      <c r="P8" s="192"/>
      <c r="Q8" s="192"/>
      <c r="R8" s="192"/>
      <c r="S8" s="192"/>
      <c r="T8" s="192"/>
      <c r="U8" s="83" t="s">
        <v>793</v>
      </c>
      <c r="V8" s="173" t="s">
        <v>783</v>
      </c>
      <c r="W8" s="174"/>
      <c r="X8" s="174"/>
      <c r="Y8" s="174"/>
      <c r="Z8" s="174"/>
      <c r="AA8" s="175"/>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row>
    <row r="9" spans="1:60" s="194" customFormat="1" x14ac:dyDescent="0.25">
      <c r="A9" s="75"/>
      <c r="B9" s="75"/>
      <c r="C9" s="739"/>
      <c r="D9" s="75"/>
      <c r="E9" s="75"/>
      <c r="F9" s="75"/>
      <c r="G9" s="75"/>
      <c r="H9" s="75"/>
      <c r="I9" s="75"/>
      <c r="J9" s="75"/>
      <c r="K9" s="75"/>
      <c r="L9" s="75"/>
      <c r="M9" s="75"/>
      <c r="N9" s="75"/>
      <c r="O9" s="75"/>
      <c r="P9" s="75"/>
      <c r="Q9" s="75"/>
      <c r="R9" s="75"/>
      <c r="S9" s="75"/>
      <c r="T9" s="75"/>
      <c r="U9" s="75"/>
      <c r="V9" s="176" t="s">
        <v>784</v>
      </c>
      <c r="W9" s="172"/>
      <c r="X9" s="172"/>
      <c r="Y9" s="179" t="s">
        <v>785</v>
      </c>
      <c r="Z9" s="172"/>
      <c r="AA9" s="177"/>
      <c r="AB9" s="75"/>
      <c r="AC9" s="768"/>
      <c r="AD9" s="75"/>
      <c r="AE9" s="768"/>
      <c r="AF9" s="75"/>
      <c r="AG9" s="768"/>
      <c r="AH9" s="75"/>
      <c r="AI9" s="768"/>
      <c r="AJ9" s="75"/>
      <c r="AK9" s="768"/>
      <c r="AL9" s="75"/>
      <c r="AM9" s="768"/>
      <c r="AN9" s="75"/>
      <c r="AO9" s="75"/>
      <c r="AP9" s="75"/>
      <c r="AQ9" s="75"/>
      <c r="AR9" s="75"/>
      <c r="AS9" s="75"/>
      <c r="AT9" s="75"/>
      <c r="AU9" s="75"/>
      <c r="AV9" s="75"/>
      <c r="AW9" s="75"/>
      <c r="AX9" s="75"/>
      <c r="AY9" s="75"/>
      <c r="AZ9" s="75"/>
      <c r="BA9" s="75"/>
      <c r="BB9" s="75"/>
      <c r="BC9" s="75"/>
      <c r="BD9" s="75"/>
      <c r="BE9" s="76"/>
    </row>
    <row r="10" spans="1:60" s="15" customFormat="1" ht="24" x14ac:dyDescent="0.2">
      <c r="A10" s="166"/>
      <c r="B10" s="167" t="s">
        <v>261</v>
      </c>
      <c r="C10" s="167"/>
      <c r="D10" s="167" t="s">
        <v>262</v>
      </c>
      <c r="E10" s="167" t="s">
        <v>263</v>
      </c>
      <c r="F10" s="167" t="s">
        <v>264</v>
      </c>
      <c r="G10" s="167" t="s">
        <v>344</v>
      </c>
      <c r="H10" s="167" t="s">
        <v>265</v>
      </c>
      <c r="I10" s="167" t="s">
        <v>567</v>
      </c>
      <c r="J10" s="167" t="s">
        <v>267</v>
      </c>
      <c r="K10" s="167" t="s">
        <v>268</v>
      </c>
      <c r="L10" s="167" t="s">
        <v>269</v>
      </c>
      <c r="M10" s="167" t="s">
        <v>270</v>
      </c>
      <c r="N10" s="167" t="s">
        <v>271</v>
      </c>
      <c r="O10" s="167" t="s">
        <v>444</v>
      </c>
      <c r="P10" s="167" t="s">
        <v>341</v>
      </c>
      <c r="Q10" s="604" t="s">
        <v>272</v>
      </c>
      <c r="R10" s="84" t="s">
        <v>273</v>
      </c>
      <c r="S10" s="84" t="s">
        <v>274</v>
      </c>
      <c r="T10" s="84" t="s">
        <v>275</v>
      </c>
      <c r="U10" s="188"/>
      <c r="V10" s="209" t="s">
        <v>795</v>
      </c>
      <c r="W10" s="84" t="s">
        <v>789</v>
      </c>
      <c r="X10" s="84" t="s">
        <v>790</v>
      </c>
      <c r="Y10" s="180" t="s">
        <v>791</v>
      </c>
      <c r="Z10" s="84" t="s">
        <v>789</v>
      </c>
      <c r="AA10" s="178" t="s">
        <v>786</v>
      </c>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6"/>
      <c r="BA10" s="546"/>
      <c r="BB10" s="546"/>
      <c r="BC10" s="546"/>
      <c r="BD10" s="546"/>
      <c r="BE10" s="546"/>
      <c r="BF10" s="169"/>
    </row>
    <row r="11" spans="1:60" s="16" customFormat="1" ht="48" x14ac:dyDescent="0.2">
      <c r="A11" s="543">
        <v>1</v>
      </c>
      <c r="B11" s="542" t="s">
        <v>127</v>
      </c>
      <c r="C11" s="542"/>
      <c r="D11" s="544" t="s">
        <v>568</v>
      </c>
      <c r="E11" s="86" t="s">
        <v>569</v>
      </c>
      <c r="F11" s="86" t="s">
        <v>570</v>
      </c>
      <c r="G11" s="86" t="s">
        <v>306</v>
      </c>
      <c r="H11" s="86" t="s">
        <v>571</v>
      </c>
      <c r="I11" s="86" t="s">
        <v>570</v>
      </c>
      <c r="J11" s="87" t="s">
        <v>572</v>
      </c>
      <c r="K11" s="87" t="s">
        <v>573</v>
      </c>
      <c r="L11" s="87" t="s">
        <v>574</v>
      </c>
      <c r="M11" s="86" t="s">
        <v>575</v>
      </c>
      <c r="N11" s="86"/>
      <c r="O11" s="86" t="s">
        <v>576</v>
      </c>
      <c r="P11" s="86" t="s">
        <v>577</v>
      </c>
      <c r="Q11" s="86"/>
      <c r="R11" s="87" t="s">
        <v>578</v>
      </c>
      <c r="S11" s="87"/>
      <c r="T11" s="87" t="s">
        <v>982</v>
      </c>
      <c r="U11" s="189" t="s">
        <v>794</v>
      </c>
      <c r="V11" s="213" t="s">
        <v>794</v>
      </c>
      <c r="W11" s="189"/>
      <c r="X11" s="189"/>
      <c r="Y11" s="214"/>
      <c r="Z11" s="189"/>
      <c r="AA11" s="215"/>
      <c r="AB11" s="702">
        <v>2005</v>
      </c>
      <c r="AC11" s="702"/>
      <c r="AD11" s="702">
        <v>2006</v>
      </c>
      <c r="AE11" s="702"/>
      <c r="AF11" s="702">
        <v>2007</v>
      </c>
      <c r="AG11" s="702"/>
      <c r="AH11" s="702">
        <v>2008</v>
      </c>
      <c r="AI11" s="702"/>
      <c r="AJ11" s="702">
        <v>2009</v>
      </c>
      <c r="AK11" s="702"/>
      <c r="AL11" s="702">
        <v>2010</v>
      </c>
      <c r="AM11" s="702"/>
      <c r="AN11" s="547"/>
      <c r="AO11" s="547"/>
      <c r="AP11" s="547"/>
      <c r="AQ11" s="547"/>
      <c r="AR11" s="547"/>
      <c r="AS11" s="547"/>
      <c r="AT11" s="547"/>
      <c r="AU11" s="547"/>
      <c r="AV11" s="547"/>
      <c r="AW11" s="547"/>
      <c r="AX11" s="547"/>
      <c r="AY11" s="547"/>
      <c r="AZ11" s="547"/>
      <c r="BA11" s="547"/>
      <c r="BB11" s="547"/>
      <c r="BC11" s="547"/>
      <c r="BD11" s="547"/>
      <c r="BE11" s="547"/>
      <c r="BF11" s="845"/>
      <c r="BG11" s="845"/>
      <c r="BH11" s="845"/>
    </row>
    <row r="12" spans="1:60" s="16" customFormat="1" ht="15.75" x14ac:dyDescent="0.2">
      <c r="A12" s="444"/>
      <c r="B12" s="252" t="s">
        <v>3</v>
      </c>
      <c r="C12" s="252"/>
      <c r="D12" s="87"/>
      <c r="E12" s="86"/>
      <c r="F12" s="86"/>
      <c r="G12" s="86"/>
      <c r="H12" s="86"/>
      <c r="I12" s="86"/>
      <c r="J12" s="87"/>
      <c r="K12" s="87"/>
      <c r="L12" s="87"/>
      <c r="M12" s="86"/>
      <c r="N12" s="86"/>
      <c r="O12" s="86"/>
      <c r="P12" s="86"/>
      <c r="Q12" s="86"/>
      <c r="R12" s="87"/>
      <c r="S12" s="87"/>
      <c r="T12" s="87"/>
      <c r="U12" s="189"/>
      <c r="V12" s="213"/>
      <c r="W12" s="189"/>
      <c r="X12" s="189"/>
      <c r="Y12" s="214"/>
      <c r="Z12" s="189"/>
      <c r="AA12" s="215"/>
      <c r="AB12" s="642">
        <v>474951381</v>
      </c>
      <c r="AC12" s="642"/>
      <c r="AD12" s="328">
        <v>474756204</v>
      </c>
      <c r="AE12" s="328"/>
      <c r="AF12" s="642">
        <v>476728007</v>
      </c>
      <c r="AG12" s="642"/>
      <c r="AH12" s="328">
        <v>493039487</v>
      </c>
      <c r="AI12" s="328"/>
      <c r="AJ12" s="642">
        <v>505350244</v>
      </c>
      <c r="AK12" s="642"/>
      <c r="AL12" s="328">
        <v>502956153</v>
      </c>
      <c r="AM12" s="328"/>
      <c r="AN12" s="549"/>
      <c r="AO12" s="60"/>
      <c r="AP12" s="549"/>
      <c r="AQ12" s="60"/>
      <c r="AR12" s="549"/>
      <c r="AS12" s="60"/>
      <c r="AT12" s="540"/>
      <c r="AU12" s="540"/>
      <c r="AV12" s="540"/>
      <c r="AW12" s="540"/>
      <c r="AX12" s="540"/>
      <c r="AY12" s="540"/>
      <c r="AZ12" s="540"/>
      <c r="BA12" s="540"/>
      <c r="BB12" s="540"/>
      <c r="BC12" s="540"/>
      <c r="BD12" s="540"/>
      <c r="BE12" s="540"/>
      <c r="BF12" s="540"/>
      <c r="BG12" s="540"/>
      <c r="BH12" s="540"/>
    </row>
    <row r="13" spans="1:60" s="16" customFormat="1" ht="15.75" x14ac:dyDescent="0.2">
      <c r="A13" s="444"/>
      <c r="B13" s="252" t="s">
        <v>4</v>
      </c>
      <c r="C13" s="252"/>
      <c r="D13" s="87"/>
      <c r="E13" s="86"/>
      <c r="F13" s="86"/>
      <c r="G13" s="86"/>
      <c r="H13" s="86"/>
      <c r="I13" s="86"/>
      <c r="J13" s="87"/>
      <c r="K13" s="87"/>
      <c r="L13" s="87"/>
      <c r="M13" s="86"/>
      <c r="N13" s="86"/>
      <c r="O13" s="86"/>
      <c r="P13" s="86"/>
      <c r="Q13" s="86"/>
      <c r="R13" s="87"/>
      <c r="S13" s="87"/>
      <c r="T13" s="87"/>
      <c r="U13" s="189"/>
      <c r="V13" s="213"/>
      <c r="W13" s="189"/>
      <c r="X13" s="189"/>
      <c r="Y13" s="214"/>
      <c r="Z13" s="189"/>
      <c r="AA13" s="215"/>
      <c r="AB13" s="642">
        <v>235694250</v>
      </c>
      <c r="AC13" s="642"/>
      <c r="AD13" s="328">
        <v>234577659</v>
      </c>
      <c r="AE13" s="328"/>
      <c r="AF13" s="642">
        <v>291140281</v>
      </c>
      <c r="AG13" s="642"/>
      <c r="AH13" s="328">
        <v>263075471</v>
      </c>
      <c r="AI13" s="328"/>
      <c r="AJ13" s="642">
        <v>274447685</v>
      </c>
      <c r="AK13" s="642"/>
      <c r="AL13" s="328">
        <v>265845467</v>
      </c>
      <c r="AM13" s="328"/>
      <c r="AN13" s="549"/>
      <c r="AO13" s="60"/>
      <c r="AP13" s="549"/>
      <c r="AQ13" s="60"/>
      <c r="AR13" s="549"/>
      <c r="AS13" s="60"/>
      <c r="AT13" s="540"/>
      <c r="AU13" s="540"/>
      <c r="AV13" s="540"/>
      <c r="AW13" s="540"/>
      <c r="AX13" s="540"/>
      <c r="AY13" s="540"/>
      <c r="AZ13" s="540"/>
      <c r="BA13" s="540"/>
      <c r="BB13" s="540"/>
      <c r="BC13" s="540"/>
      <c r="BD13" s="540"/>
      <c r="BE13" s="540"/>
      <c r="BF13" s="540"/>
      <c r="BG13" s="540"/>
      <c r="BH13" s="540"/>
    </row>
    <row r="14" spans="1:60" s="16" customFormat="1" ht="15.75" x14ac:dyDescent="0.2">
      <c r="A14" s="444"/>
      <c r="B14" s="252" t="s">
        <v>5</v>
      </c>
      <c r="C14" s="252"/>
      <c r="D14" s="87"/>
      <c r="E14" s="86"/>
      <c r="F14" s="86"/>
      <c r="G14" s="86"/>
      <c r="H14" s="86"/>
      <c r="I14" s="86"/>
      <c r="J14" s="87"/>
      <c r="K14" s="87"/>
      <c r="L14" s="87"/>
      <c r="M14" s="86"/>
      <c r="N14" s="86"/>
      <c r="O14" s="86"/>
      <c r="P14" s="86"/>
      <c r="Q14" s="86"/>
      <c r="R14" s="87"/>
      <c r="S14" s="87"/>
      <c r="T14" s="87"/>
      <c r="U14" s="189"/>
      <c r="V14" s="213"/>
      <c r="W14" s="189"/>
      <c r="X14" s="189"/>
      <c r="Y14" s="214"/>
      <c r="Z14" s="189"/>
      <c r="AA14" s="215"/>
      <c r="AB14" s="642">
        <v>282738423</v>
      </c>
      <c r="AC14" s="642"/>
      <c r="AD14" s="328">
        <v>294495896</v>
      </c>
      <c r="AE14" s="328"/>
      <c r="AF14" s="642">
        <v>308431938</v>
      </c>
      <c r="AG14" s="642"/>
      <c r="AH14" s="328">
        <v>315555297</v>
      </c>
      <c r="AI14" s="328"/>
      <c r="AJ14" s="642">
        <v>325691626</v>
      </c>
      <c r="AK14" s="642"/>
      <c r="AL14" s="328">
        <v>331062488</v>
      </c>
      <c r="AM14" s="328"/>
      <c r="AN14" s="549"/>
      <c r="AO14" s="60"/>
      <c r="AP14" s="549"/>
      <c r="AQ14" s="60"/>
      <c r="AR14" s="549"/>
      <c r="AS14" s="60"/>
      <c r="AT14" s="540"/>
      <c r="AU14" s="540"/>
      <c r="AV14" s="540"/>
      <c r="AW14" s="540"/>
      <c r="AX14" s="540"/>
      <c r="AY14" s="540"/>
      <c r="AZ14" s="540"/>
      <c r="BA14" s="540"/>
      <c r="BB14" s="540"/>
      <c r="BC14" s="540"/>
      <c r="BD14" s="540"/>
      <c r="BE14" s="540"/>
      <c r="BF14" s="540"/>
      <c r="BG14" s="540"/>
      <c r="BH14" s="540"/>
    </row>
    <row r="15" spans="1:60" s="16" customFormat="1" ht="15.75" x14ac:dyDescent="0.2">
      <c r="A15" s="444"/>
      <c r="B15" s="252" t="s">
        <v>251</v>
      </c>
      <c r="C15" s="252"/>
      <c r="D15" s="87"/>
      <c r="E15" s="86"/>
      <c r="F15" s="86"/>
      <c r="G15" s="86"/>
      <c r="H15" s="86"/>
      <c r="I15" s="86"/>
      <c r="J15" s="87"/>
      <c r="K15" s="87"/>
      <c r="L15" s="87"/>
      <c r="M15" s="86"/>
      <c r="N15" s="86"/>
      <c r="O15" s="86"/>
      <c r="P15" s="86"/>
      <c r="Q15" s="86"/>
      <c r="R15" s="87"/>
      <c r="S15" s="87"/>
      <c r="T15" s="87"/>
      <c r="U15" s="189"/>
      <c r="V15" s="213"/>
      <c r="W15" s="189"/>
      <c r="X15" s="189"/>
      <c r="Y15" s="214"/>
      <c r="Z15" s="189"/>
      <c r="AA15" s="215"/>
      <c r="AB15" s="642">
        <v>288217464</v>
      </c>
      <c r="AC15" s="642"/>
      <c r="AD15" s="328">
        <v>294379376</v>
      </c>
      <c r="AE15" s="328"/>
      <c r="AF15" s="642">
        <v>303628029</v>
      </c>
      <c r="AG15" s="642"/>
      <c r="AH15" s="328">
        <v>320877966</v>
      </c>
      <c r="AI15" s="328"/>
      <c r="AJ15" s="642">
        <v>331525801</v>
      </c>
      <c r="AK15" s="642"/>
      <c r="AL15" s="328">
        <v>332941393</v>
      </c>
      <c r="AM15" s="328"/>
      <c r="AN15" s="549"/>
      <c r="AO15" s="60"/>
      <c r="AP15" s="549"/>
      <c r="AQ15" s="60"/>
      <c r="AR15" s="549"/>
      <c r="AS15" s="60"/>
      <c r="AT15" s="540"/>
      <c r="AU15" s="540"/>
      <c r="AV15" s="540"/>
      <c r="AW15" s="540"/>
      <c r="AX15" s="540"/>
      <c r="AY15" s="540"/>
      <c r="AZ15" s="540"/>
      <c r="BA15" s="540"/>
      <c r="BB15" s="540"/>
      <c r="BC15" s="540"/>
      <c r="BD15" s="540"/>
      <c r="BE15" s="540"/>
      <c r="BF15" s="540"/>
      <c r="BG15" s="540"/>
      <c r="BH15" s="540"/>
    </row>
    <row r="16" spans="1:60" s="16" customFormat="1" ht="15.75" x14ac:dyDescent="0.2">
      <c r="A16" s="444"/>
      <c r="B16" s="252" t="s">
        <v>252</v>
      </c>
      <c r="C16" s="252"/>
      <c r="D16" s="87"/>
      <c r="E16" s="86"/>
      <c r="F16" s="86"/>
      <c r="G16" s="86"/>
      <c r="H16" s="86"/>
      <c r="I16" s="86"/>
      <c r="J16" s="87"/>
      <c r="K16" s="87"/>
      <c r="L16" s="87"/>
      <c r="M16" s="86"/>
      <c r="N16" s="86"/>
      <c r="O16" s="86"/>
      <c r="P16" s="86"/>
      <c r="Q16" s="86"/>
      <c r="R16" s="87"/>
      <c r="S16" s="87"/>
      <c r="T16" s="87"/>
      <c r="U16" s="189"/>
      <c r="V16" s="213"/>
      <c r="W16" s="189"/>
      <c r="X16" s="189"/>
      <c r="Y16" s="214"/>
      <c r="Z16" s="189"/>
      <c r="AA16" s="215"/>
      <c r="AB16" s="642">
        <v>282970013</v>
      </c>
      <c r="AC16" s="642"/>
      <c r="AD16" s="328">
        <v>288375444</v>
      </c>
      <c r="AE16" s="328"/>
      <c r="AF16" s="642">
        <v>313659638</v>
      </c>
      <c r="AG16" s="642"/>
      <c r="AH16" s="328">
        <v>317977206</v>
      </c>
      <c r="AI16" s="328"/>
      <c r="AJ16" s="642">
        <v>328769346</v>
      </c>
      <c r="AK16" s="642"/>
      <c r="AL16" s="328">
        <v>322249616</v>
      </c>
      <c r="AM16" s="328"/>
      <c r="AN16" s="549"/>
      <c r="AO16" s="60"/>
      <c r="AP16" s="549"/>
      <c r="AQ16" s="60"/>
      <c r="AR16" s="549"/>
      <c r="AS16" s="60"/>
      <c r="AT16" s="540"/>
      <c r="AU16" s="540"/>
      <c r="AV16" s="540"/>
      <c r="AW16" s="540"/>
      <c r="AX16" s="540"/>
      <c r="AY16" s="540"/>
      <c r="AZ16" s="540"/>
      <c r="BA16" s="540"/>
      <c r="BB16" s="540"/>
      <c r="BC16" s="540"/>
      <c r="BD16" s="540"/>
      <c r="BE16" s="540"/>
      <c r="BF16" s="540"/>
      <c r="BG16" s="540"/>
      <c r="BH16" s="540"/>
    </row>
    <row r="17" spans="1:60" s="16" customFormat="1" ht="14.25" customHeight="1" x14ac:dyDescent="0.2">
      <c r="A17" s="444"/>
      <c r="B17" s="252" t="s">
        <v>6</v>
      </c>
      <c r="C17" s="252"/>
      <c r="D17" s="87"/>
      <c r="E17" s="86"/>
      <c r="F17" s="86"/>
      <c r="G17" s="86"/>
      <c r="H17" s="86"/>
      <c r="I17" s="86"/>
      <c r="J17" s="87"/>
      <c r="K17" s="87"/>
      <c r="L17" s="87"/>
      <c r="M17" s="86"/>
      <c r="N17" s="86"/>
      <c r="O17" s="86"/>
      <c r="P17" s="86"/>
      <c r="Q17" s="86"/>
      <c r="R17" s="87"/>
      <c r="S17" s="87"/>
      <c r="T17" s="87"/>
      <c r="U17" s="189"/>
      <c r="V17" s="213"/>
      <c r="W17" s="189"/>
      <c r="X17" s="189"/>
      <c r="Y17" s="214"/>
      <c r="Z17" s="189"/>
      <c r="AA17" s="215"/>
      <c r="AB17" s="480">
        <v>81870640</v>
      </c>
      <c r="AC17" s="480"/>
      <c r="AD17" s="480">
        <v>84594000</v>
      </c>
      <c r="AE17" s="480"/>
      <c r="AF17" s="480">
        <v>89757111</v>
      </c>
      <c r="AG17" s="480"/>
      <c r="AH17" s="480">
        <v>96600000</v>
      </c>
      <c r="AI17" s="480"/>
      <c r="AJ17" s="480">
        <v>101452000</v>
      </c>
      <c r="AK17" s="480"/>
      <c r="AL17" s="480">
        <v>94036000</v>
      </c>
      <c r="AM17" s="480"/>
      <c r="AN17" s="549"/>
      <c r="AO17" s="60"/>
      <c r="AP17" s="549"/>
      <c r="AQ17" s="60"/>
      <c r="AR17" s="549"/>
      <c r="AS17" s="60"/>
      <c r="AT17" s="540"/>
      <c r="AU17" s="540"/>
      <c r="AV17" s="540"/>
      <c r="AW17" s="540"/>
      <c r="AX17" s="540"/>
      <c r="AY17" s="540"/>
      <c r="AZ17" s="540"/>
      <c r="BA17" s="540"/>
      <c r="BB17" s="540"/>
      <c r="BC17" s="540"/>
      <c r="BD17" s="540"/>
      <c r="BE17" s="540"/>
      <c r="BF17" s="540"/>
      <c r="BG17" s="540"/>
      <c r="BH17" s="540"/>
    </row>
    <row r="18" spans="1:60" s="16" customFormat="1" ht="15.75" x14ac:dyDescent="0.2">
      <c r="A18" s="444"/>
      <c r="B18" s="252" t="s">
        <v>8</v>
      </c>
      <c r="C18" s="252"/>
      <c r="D18" s="87"/>
      <c r="E18" s="86"/>
      <c r="F18" s="86"/>
      <c r="G18" s="86"/>
      <c r="H18" s="86"/>
      <c r="I18" s="86"/>
      <c r="J18" s="87"/>
      <c r="K18" s="87"/>
      <c r="L18" s="87"/>
      <c r="M18" s="86"/>
      <c r="N18" s="86"/>
      <c r="O18" s="86"/>
      <c r="P18" s="86"/>
      <c r="Q18" s="86"/>
      <c r="R18" s="87"/>
      <c r="S18" s="87"/>
      <c r="T18" s="87"/>
      <c r="U18" s="189"/>
      <c r="V18" s="213"/>
      <c r="W18" s="189"/>
      <c r="X18" s="189"/>
      <c r="Y18" s="214"/>
      <c r="Z18" s="189"/>
      <c r="AA18" s="215"/>
      <c r="AB18" s="642">
        <v>57466405</v>
      </c>
      <c r="AC18" s="642"/>
      <c r="AD18" s="328">
        <v>56580616</v>
      </c>
      <c r="AE18" s="328"/>
      <c r="AF18" s="642">
        <v>58453856</v>
      </c>
      <c r="AG18" s="642"/>
      <c r="AH18" s="328">
        <v>62626224</v>
      </c>
      <c r="AI18" s="328"/>
      <c r="AJ18" s="642">
        <v>63038875</v>
      </c>
      <c r="AK18" s="642"/>
      <c r="AL18" s="328">
        <v>62652039</v>
      </c>
      <c r="AM18" s="328"/>
      <c r="AN18" s="549"/>
      <c r="AO18" s="60"/>
      <c r="AP18" s="549"/>
      <c r="AQ18" s="60"/>
      <c r="AR18" s="549"/>
      <c r="AS18" s="60"/>
      <c r="AT18" s="540"/>
      <c r="AU18" s="540"/>
      <c r="AV18" s="540"/>
      <c r="AW18" s="540"/>
      <c r="AX18" s="540"/>
      <c r="AY18" s="540"/>
      <c r="AZ18" s="540"/>
      <c r="BA18" s="540"/>
      <c r="BB18" s="540"/>
      <c r="BC18" s="540"/>
      <c r="BD18" s="540"/>
      <c r="BE18" s="540"/>
      <c r="BF18" s="540"/>
      <c r="BG18" s="540"/>
      <c r="BH18" s="540"/>
    </row>
    <row r="19" spans="1:60" s="16" customFormat="1" ht="15.75" x14ac:dyDescent="0.2">
      <c r="A19" s="444"/>
      <c r="B19" s="252" t="s">
        <v>7</v>
      </c>
      <c r="C19" s="252"/>
      <c r="D19" s="87"/>
      <c r="E19" s="86"/>
      <c r="F19" s="86"/>
      <c r="G19" s="86"/>
      <c r="H19" s="86"/>
      <c r="I19" s="86"/>
      <c r="J19" s="87"/>
      <c r="K19" s="87"/>
      <c r="L19" s="87"/>
      <c r="M19" s="86"/>
      <c r="N19" s="86"/>
      <c r="O19" s="86"/>
      <c r="P19" s="86"/>
      <c r="Q19" s="86"/>
      <c r="R19" s="87"/>
      <c r="S19" s="87"/>
      <c r="T19" s="87"/>
      <c r="U19" s="189"/>
      <c r="V19" s="213"/>
      <c r="W19" s="189"/>
      <c r="X19" s="189"/>
      <c r="Y19" s="214"/>
      <c r="Z19" s="189"/>
      <c r="AA19" s="215"/>
      <c r="AB19" s="642">
        <v>62328407</v>
      </c>
      <c r="AC19" s="642"/>
      <c r="AD19" s="328">
        <v>63962428</v>
      </c>
      <c r="AE19" s="328"/>
      <c r="AF19" s="642">
        <v>72696207</v>
      </c>
      <c r="AG19" s="642"/>
      <c r="AH19" s="328">
        <v>75442966</v>
      </c>
      <c r="AI19" s="328"/>
      <c r="AJ19" s="642">
        <v>79293547</v>
      </c>
      <c r="AK19" s="642"/>
      <c r="AL19" s="328">
        <v>79085845</v>
      </c>
      <c r="AM19" s="328"/>
      <c r="AN19" s="549"/>
      <c r="AO19" s="60"/>
      <c r="AP19" s="549"/>
      <c r="AQ19" s="60"/>
      <c r="AR19" s="549"/>
      <c r="AS19" s="60"/>
      <c r="AT19" s="540"/>
      <c r="AU19" s="540"/>
      <c r="AV19" s="540"/>
      <c r="AW19" s="540"/>
      <c r="AX19" s="540"/>
      <c r="AY19" s="540"/>
      <c r="AZ19" s="540"/>
      <c r="BA19" s="540"/>
      <c r="BB19" s="540"/>
      <c r="BC19" s="540"/>
      <c r="BD19" s="540"/>
      <c r="BE19" s="540"/>
      <c r="BF19" s="540"/>
      <c r="BG19" s="540"/>
      <c r="BH19" s="540"/>
    </row>
    <row r="20" spans="1:60" s="16" customFormat="1" ht="15.75" x14ac:dyDescent="0.2">
      <c r="A20" s="444"/>
      <c r="B20" s="252" t="s">
        <v>801</v>
      </c>
      <c r="C20" s="252"/>
      <c r="D20" s="87"/>
      <c r="E20" s="86"/>
      <c r="F20" s="86"/>
      <c r="G20" s="86"/>
      <c r="H20" s="86"/>
      <c r="I20" s="86"/>
      <c r="J20" s="87"/>
      <c r="K20" s="87"/>
      <c r="L20" s="87"/>
      <c r="M20" s="86"/>
      <c r="N20" s="86"/>
      <c r="O20" s="86"/>
      <c r="P20" s="86"/>
      <c r="Q20" s="86"/>
      <c r="R20" s="87"/>
      <c r="S20" s="87"/>
      <c r="T20" s="87"/>
      <c r="U20" s="189"/>
      <c r="V20" s="213"/>
      <c r="W20" s="189"/>
      <c r="X20" s="189"/>
      <c r="Y20" s="214"/>
      <c r="Z20" s="189"/>
      <c r="AA20" s="215"/>
      <c r="AB20" s="642">
        <v>47320762</v>
      </c>
      <c r="AC20" s="642"/>
      <c r="AD20" s="328">
        <v>49713147</v>
      </c>
      <c r="AE20" s="328"/>
      <c r="AF20" s="642">
        <v>50772272</v>
      </c>
      <c r="AG20" s="642"/>
      <c r="AH20" s="328">
        <v>55690118</v>
      </c>
      <c r="AI20" s="328"/>
      <c r="AJ20" s="642">
        <v>55426244</v>
      </c>
      <c r="AK20" s="642"/>
      <c r="AL20" s="328">
        <v>58492009</v>
      </c>
      <c r="AM20" s="328"/>
      <c r="AN20" s="549"/>
      <c r="AO20" s="60"/>
      <c r="AP20" s="549"/>
      <c r="AQ20" s="60"/>
      <c r="AR20" s="549"/>
      <c r="AS20" s="60"/>
      <c r="AT20" s="540"/>
      <c r="AU20" s="540"/>
      <c r="AV20" s="540"/>
      <c r="AW20" s="540"/>
      <c r="AX20" s="540"/>
      <c r="AY20" s="540"/>
      <c r="AZ20" s="540"/>
      <c r="BA20" s="540"/>
      <c r="BB20" s="540"/>
      <c r="BC20" s="540"/>
      <c r="BD20" s="540"/>
      <c r="BE20" s="540"/>
      <c r="BF20" s="540"/>
      <c r="BG20" s="540"/>
      <c r="BH20" s="540"/>
    </row>
    <row r="21" spans="1:60" s="656" customFormat="1" ht="36" x14ac:dyDescent="0.2">
      <c r="A21" s="653">
        <v>2</v>
      </c>
      <c r="B21" s="643" t="s">
        <v>128</v>
      </c>
      <c r="C21" s="643"/>
      <c r="D21" s="644" t="s">
        <v>579</v>
      </c>
      <c r="E21" s="645" t="s">
        <v>569</v>
      </c>
      <c r="F21" s="645" t="s">
        <v>570</v>
      </c>
      <c r="G21" s="645" t="s">
        <v>306</v>
      </c>
      <c r="H21" s="645" t="s">
        <v>571</v>
      </c>
      <c r="I21" s="645" t="s">
        <v>570</v>
      </c>
      <c r="J21" s="644" t="s">
        <v>572</v>
      </c>
      <c r="K21" s="644" t="s">
        <v>580</v>
      </c>
      <c r="L21" s="644" t="s">
        <v>574</v>
      </c>
      <c r="M21" s="645" t="s">
        <v>575</v>
      </c>
      <c r="N21" s="645"/>
      <c r="O21" s="645" t="s">
        <v>285</v>
      </c>
      <c r="P21" s="645" t="s">
        <v>581</v>
      </c>
      <c r="Q21" s="645"/>
      <c r="R21" s="644" t="s">
        <v>578</v>
      </c>
      <c r="S21" s="644"/>
      <c r="T21" s="644" t="s">
        <v>983</v>
      </c>
      <c r="U21" s="646"/>
      <c r="V21" s="647" t="s">
        <v>794</v>
      </c>
      <c r="W21" s="646"/>
      <c r="X21" s="646"/>
      <c r="Y21" s="648"/>
      <c r="Z21" s="646"/>
      <c r="AA21" s="649"/>
      <c r="AB21" s="650">
        <v>2005</v>
      </c>
      <c r="AC21" s="650"/>
      <c r="AD21" s="650">
        <v>2006</v>
      </c>
      <c r="AE21" s="650"/>
      <c r="AF21" s="650">
        <v>2007</v>
      </c>
      <c r="AG21" s="650"/>
      <c r="AH21" s="650">
        <v>2008</v>
      </c>
      <c r="AI21" s="650"/>
      <c r="AJ21" s="650">
        <v>2009</v>
      </c>
      <c r="AK21" s="650"/>
      <c r="AL21" s="650">
        <v>2010</v>
      </c>
      <c r="AM21" s="650"/>
      <c r="AN21" s="654"/>
      <c r="AO21" s="654"/>
      <c r="AP21" s="654"/>
      <c r="AQ21" s="654"/>
      <c r="AR21" s="654"/>
      <c r="AS21" s="654"/>
      <c r="AT21" s="654"/>
      <c r="AU21" s="654"/>
      <c r="AV21" s="654"/>
      <c r="AW21" s="654"/>
      <c r="AX21" s="654"/>
      <c r="AY21" s="654"/>
      <c r="AZ21" s="654"/>
      <c r="BA21" s="654"/>
      <c r="BB21" s="654"/>
      <c r="BC21" s="654"/>
      <c r="BD21" s="654"/>
      <c r="BE21" s="654"/>
      <c r="BF21" s="655"/>
      <c r="BG21" s="655"/>
    </row>
    <row r="22" spans="1:60" s="656" customFormat="1" ht="15.75" x14ac:dyDescent="0.2">
      <c r="A22" s="653"/>
      <c r="B22" s="651" t="s">
        <v>3</v>
      </c>
      <c r="C22" s="651"/>
      <c r="D22" s="644"/>
      <c r="E22" s="645"/>
      <c r="F22" s="645"/>
      <c r="G22" s="645"/>
      <c r="H22" s="645"/>
      <c r="I22" s="645"/>
      <c r="J22" s="644"/>
      <c r="K22" s="644"/>
      <c r="L22" s="644"/>
      <c r="M22" s="645"/>
      <c r="N22" s="645"/>
      <c r="O22" s="645"/>
      <c r="P22" s="645"/>
      <c r="Q22" s="645"/>
      <c r="R22" s="644"/>
      <c r="S22" s="644"/>
      <c r="T22" s="644"/>
      <c r="U22" s="646"/>
      <c r="V22" s="647"/>
      <c r="W22" s="646"/>
      <c r="X22" s="646"/>
      <c r="Y22" s="648"/>
      <c r="Z22" s="646"/>
      <c r="AA22" s="649"/>
      <c r="AB22" s="652">
        <v>281</v>
      </c>
      <c r="AC22" s="652"/>
      <c r="AD22" s="652">
        <v>255</v>
      </c>
      <c r="AE22" s="652"/>
      <c r="AF22" s="652">
        <v>244</v>
      </c>
      <c r="AG22" s="652"/>
      <c r="AH22" s="652">
        <v>229</v>
      </c>
      <c r="AI22" s="652"/>
      <c r="AJ22" s="652">
        <v>223</v>
      </c>
      <c r="AK22" s="652"/>
      <c r="AL22" s="652">
        <v>217</v>
      </c>
      <c r="AM22" s="652"/>
      <c r="AN22" s="654"/>
      <c r="AO22" s="654"/>
      <c r="AP22" s="654"/>
      <c r="AQ22" s="654"/>
      <c r="AR22" s="654"/>
      <c r="AS22" s="654"/>
      <c r="AT22" s="654"/>
      <c r="AU22" s="654"/>
      <c r="AV22" s="654"/>
      <c r="AW22" s="654"/>
      <c r="AX22" s="654"/>
      <c r="AY22" s="654"/>
      <c r="AZ22" s="654"/>
      <c r="BA22" s="654"/>
      <c r="BB22" s="654"/>
      <c r="BC22" s="654"/>
      <c r="BD22" s="654"/>
      <c r="BE22" s="654"/>
      <c r="BF22" s="655"/>
      <c r="BG22" s="655"/>
    </row>
    <row r="23" spans="1:60" s="656" customFormat="1" ht="15.75" x14ac:dyDescent="0.2">
      <c r="A23" s="653"/>
      <c r="B23" s="651" t="s">
        <v>4</v>
      </c>
      <c r="C23" s="651"/>
      <c r="D23" s="644"/>
      <c r="E23" s="645"/>
      <c r="F23" s="645"/>
      <c r="G23" s="645"/>
      <c r="H23" s="645"/>
      <c r="I23" s="645"/>
      <c r="J23" s="644"/>
      <c r="K23" s="644"/>
      <c r="L23" s="644"/>
      <c r="M23" s="645"/>
      <c r="N23" s="645"/>
      <c r="O23" s="645"/>
      <c r="P23" s="645"/>
      <c r="Q23" s="645"/>
      <c r="R23" s="644"/>
      <c r="S23" s="644"/>
      <c r="T23" s="644"/>
      <c r="U23" s="646"/>
      <c r="V23" s="647"/>
      <c r="W23" s="646"/>
      <c r="X23" s="646"/>
      <c r="Y23" s="648"/>
      <c r="Z23" s="646"/>
      <c r="AA23" s="649"/>
      <c r="AB23" s="652">
        <v>255</v>
      </c>
      <c r="AC23" s="652"/>
      <c r="AD23" s="652">
        <v>203</v>
      </c>
      <c r="AE23" s="652"/>
      <c r="AF23" s="652">
        <v>262</v>
      </c>
      <c r="AG23" s="652"/>
      <c r="AH23" s="652">
        <v>227</v>
      </c>
      <c r="AI23" s="652"/>
      <c r="AJ23" s="652">
        <v>235</v>
      </c>
      <c r="AK23" s="652"/>
      <c r="AL23" s="652">
        <v>228</v>
      </c>
      <c r="AM23" s="652"/>
      <c r="AN23" s="654"/>
      <c r="AO23" s="654"/>
      <c r="AP23" s="654"/>
      <c r="AQ23" s="654"/>
      <c r="AR23" s="654"/>
      <c r="AS23" s="654"/>
      <c r="AT23" s="654"/>
      <c r="AU23" s="654"/>
      <c r="AV23" s="654"/>
      <c r="AW23" s="654"/>
      <c r="AX23" s="654"/>
      <c r="AY23" s="654"/>
      <c r="AZ23" s="654"/>
      <c r="BA23" s="654"/>
      <c r="BB23" s="654"/>
      <c r="BC23" s="654"/>
      <c r="BD23" s="654"/>
      <c r="BE23" s="654"/>
      <c r="BF23" s="655"/>
      <c r="BG23" s="655"/>
    </row>
    <row r="24" spans="1:60" s="656" customFormat="1" ht="15.75" x14ac:dyDescent="0.2">
      <c r="A24" s="653"/>
      <c r="B24" s="651" t="s">
        <v>5</v>
      </c>
      <c r="C24" s="651"/>
      <c r="D24" s="644"/>
      <c r="E24" s="645"/>
      <c r="F24" s="645"/>
      <c r="G24" s="645"/>
      <c r="H24" s="645"/>
      <c r="I24" s="645"/>
      <c r="J24" s="644"/>
      <c r="K24" s="644"/>
      <c r="L24" s="644"/>
      <c r="M24" s="645"/>
      <c r="N24" s="645"/>
      <c r="O24" s="645"/>
      <c r="P24" s="645"/>
      <c r="Q24" s="645"/>
      <c r="R24" s="644"/>
      <c r="S24" s="644"/>
      <c r="T24" s="644"/>
      <c r="U24" s="646"/>
      <c r="V24" s="647"/>
      <c r="W24" s="646"/>
      <c r="X24" s="646"/>
      <c r="Y24" s="648"/>
      <c r="Z24" s="646"/>
      <c r="AA24" s="649"/>
      <c r="AB24" s="652">
        <v>187</v>
      </c>
      <c r="AC24" s="652"/>
      <c r="AD24" s="652">
        <v>193</v>
      </c>
      <c r="AE24" s="652"/>
      <c r="AF24" s="652">
        <v>208</v>
      </c>
      <c r="AG24" s="652"/>
      <c r="AH24" s="652">
        <v>206</v>
      </c>
      <c r="AI24" s="652"/>
      <c r="AJ24" s="652">
        <v>203</v>
      </c>
      <c r="AK24" s="652"/>
      <c r="AL24" s="652">
        <v>190</v>
      </c>
      <c r="AM24" s="652"/>
      <c r="AN24" s="654"/>
      <c r="AO24" s="654"/>
      <c r="AP24" s="654"/>
      <c r="AQ24" s="654"/>
      <c r="AR24" s="654"/>
      <c r="AS24" s="654"/>
      <c r="AT24" s="654"/>
      <c r="AU24" s="654"/>
      <c r="AV24" s="654"/>
      <c r="AW24" s="654"/>
      <c r="AX24" s="654"/>
      <c r="AY24" s="654"/>
      <c r="AZ24" s="654"/>
      <c r="BA24" s="654"/>
      <c r="BB24" s="654"/>
      <c r="BC24" s="654"/>
      <c r="BD24" s="654"/>
      <c r="BE24" s="654"/>
      <c r="BF24" s="655"/>
      <c r="BG24" s="655"/>
    </row>
    <row r="25" spans="1:60" s="656" customFormat="1" ht="15.75" x14ac:dyDescent="0.2">
      <c r="A25" s="653"/>
      <c r="B25" s="651" t="s">
        <v>251</v>
      </c>
      <c r="C25" s="651"/>
      <c r="D25" s="644"/>
      <c r="E25" s="645"/>
      <c r="F25" s="645"/>
      <c r="G25" s="645"/>
      <c r="H25" s="645"/>
      <c r="I25" s="645"/>
      <c r="J25" s="644"/>
      <c r="K25" s="644"/>
      <c r="L25" s="644"/>
      <c r="M25" s="645"/>
      <c r="N25" s="645"/>
      <c r="O25" s="645"/>
      <c r="P25" s="645"/>
      <c r="Q25" s="645"/>
      <c r="R25" s="644"/>
      <c r="S25" s="644"/>
      <c r="T25" s="644"/>
      <c r="U25" s="646"/>
      <c r="V25" s="647"/>
      <c r="W25" s="646"/>
      <c r="X25" s="646"/>
      <c r="Y25" s="648"/>
      <c r="Z25" s="646"/>
      <c r="AA25" s="649"/>
      <c r="AB25" s="652">
        <v>167</v>
      </c>
      <c r="AC25" s="652"/>
      <c r="AD25" s="652">
        <v>163</v>
      </c>
      <c r="AE25" s="652"/>
      <c r="AF25" s="652">
        <v>163</v>
      </c>
      <c r="AG25" s="652"/>
      <c r="AH25" s="652">
        <v>164</v>
      </c>
      <c r="AI25" s="652"/>
      <c r="AJ25" s="652">
        <v>161</v>
      </c>
      <c r="AK25" s="652"/>
      <c r="AL25" s="652">
        <v>162</v>
      </c>
      <c r="AM25" s="652"/>
      <c r="AN25" s="654"/>
      <c r="AO25" s="654"/>
      <c r="AP25" s="654"/>
      <c r="AQ25" s="654"/>
      <c r="AR25" s="654"/>
      <c r="AS25" s="654"/>
      <c r="AT25" s="654"/>
      <c r="AU25" s="654"/>
      <c r="AV25" s="654"/>
      <c r="AW25" s="654"/>
      <c r="AX25" s="654"/>
      <c r="AY25" s="654"/>
      <c r="AZ25" s="654"/>
      <c r="BA25" s="654"/>
      <c r="BB25" s="654"/>
      <c r="BC25" s="654"/>
      <c r="BD25" s="654"/>
      <c r="BE25" s="654"/>
      <c r="BF25" s="655"/>
      <c r="BG25" s="655"/>
    </row>
    <row r="26" spans="1:60" s="656" customFormat="1" ht="15.75" x14ac:dyDescent="0.2">
      <c r="A26" s="653"/>
      <c r="B26" s="651" t="s">
        <v>252</v>
      </c>
      <c r="C26" s="651"/>
      <c r="D26" s="644"/>
      <c r="E26" s="645"/>
      <c r="F26" s="645"/>
      <c r="G26" s="645"/>
      <c r="H26" s="645"/>
      <c r="I26" s="645"/>
      <c r="J26" s="644"/>
      <c r="K26" s="644"/>
      <c r="L26" s="644"/>
      <c r="M26" s="645"/>
      <c r="N26" s="645"/>
      <c r="O26" s="645"/>
      <c r="P26" s="645"/>
      <c r="Q26" s="645"/>
      <c r="R26" s="644"/>
      <c r="S26" s="644"/>
      <c r="T26" s="644"/>
      <c r="U26" s="646"/>
      <c r="V26" s="647"/>
      <c r="W26" s="646"/>
      <c r="X26" s="646"/>
      <c r="Y26" s="648"/>
      <c r="Z26" s="646"/>
      <c r="AA26" s="649"/>
      <c r="AB26" s="652">
        <v>209</v>
      </c>
      <c r="AC26" s="652"/>
      <c r="AD26" s="652">
        <v>223</v>
      </c>
      <c r="AE26" s="652"/>
      <c r="AF26" s="652">
        <v>240</v>
      </c>
      <c r="AG26" s="652"/>
      <c r="AH26" s="652">
        <v>180</v>
      </c>
      <c r="AI26" s="652"/>
      <c r="AJ26" s="652">
        <v>184</v>
      </c>
      <c r="AK26" s="652"/>
      <c r="AL26" s="652">
        <v>176</v>
      </c>
      <c r="AM26" s="652"/>
      <c r="AN26" s="654"/>
      <c r="AO26" s="654"/>
      <c r="AP26" s="654"/>
      <c r="AQ26" s="654"/>
      <c r="AR26" s="654"/>
      <c r="AS26" s="654"/>
      <c r="AT26" s="654"/>
      <c r="AU26" s="654"/>
      <c r="AV26" s="654"/>
      <c r="AW26" s="654"/>
      <c r="AX26" s="654"/>
      <c r="AY26" s="654"/>
      <c r="AZ26" s="654"/>
      <c r="BA26" s="654"/>
      <c r="BB26" s="654"/>
      <c r="BC26" s="654"/>
      <c r="BD26" s="654"/>
      <c r="BE26" s="654"/>
      <c r="BF26" s="655"/>
      <c r="BG26" s="655"/>
    </row>
    <row r="27" spans="1:60" s="656" customFormat="1" ht="15.75" x14ac:dyDescent="0.2">
      <c r="A27" s="653"/>
      <c r="B27" s="651" t="s">
        <v>6</v>
      </c>
      <c r="C27" s="651"/>
      <c r="D27" s="644"/>
      <c r="E27" s="645"/>
      <c r="F27" s="645"/>
      <c r="G27" s="645"/>
      <c r="H27" s="645"/>
      <c r="I27" s="645"/>
      <c r="J27" s="644"/>
      <c r="K27" s="644"/>
      <c r="L27" s="644"/>
      <c r="M27" s="645"/>
      <c r="N27" s="645"/>
      <c r="O27" s="645"/>
      <c r="P27" s="645"/>
      <c r="Q27" s="645"/>
      <c r="R27" s="644"/>
      <c r="S27" s="644"/>
      <c r="T27" s="644"/>
      <c r="U27" s="646"/>
      <c r="V27" s="647"/>
      <c r="W27" s="646"/>
      <c r="X27" s="646"/>
      <c r="Y27" s="648"/>
      <c r="Z27" s="646"/>
      <c r="AA27" s="649"/>
      <c r="AB27" s="652">
        <v>165</v>
      </c>
      <c r="AC27" s="652"/>
      <c r="AD27" s="652">
        <v>166</v>
      </c>
      <c r="AE27" s="652"/>
      <c r="AF27" s="652">
        <v>159</v>
      </c>
      <c r="AG27" s="652"/>
      <c r="AH27" s="652">
        <v>166</v>
      </c>
      <c r="AI27" s="652"/>
      <c r="AJ27" s="652">
        <v>173</v>
      </c>
      <c r="AK27" s="652"/>
      <c r="AL27" s="652">
        <v>153</v>
      </c>
      <c r="AM27" s="652"/>
      <c r="AN27" s="654"/>
      <c r="AO27" s="654"/>
      <c r="AP27" s="654"/>
      <c r="AQ27" s="654"/>
      <c r="AR27" s="654"/>
      <c r="AS27" s="654"/>
      <c r="AT27" s="654"/>
      <c r="AU27" s="654"/>
      <c r="AV27" s="654"/>
      <c r="AW27" s="654"/>
      <c r="AX27" s="654"/>
      <c r="AY27" s="654"/>
      <c r="AZ27" s="654"/>
      <c r="BA27" s="654"/>
      <c r="BB27" s="654"/>
      <c r="BC27" s="654"/>
      <c r="BD27" s="654"/>
      <c r="BE27" s="654"/>
      <c r="BF27" s="655"/>
      <c r="BG27" s="655"/>
    </row>
    <row r="28" spans="1:60" s="656" customFormat="1" ht="15.75" x14ac:dyDescent="0.2">
      <c r="A28" s="653"/>
      <c r="B28" s="651" t="s">
        <v>8</v>
      </c>
      <c r="C28" s="651"/>
      <c r="D28" s="644"/>
      <c r="E28" s="645"/>
      <c r="F28" s="645"/>
      <c r="G28" s="645"/>
      <c r="H28" s="645"/>
      <c r="I28" s="645"/>
      <c r="J28" s="644"/>
      <c r="K28" s="644"/>
      <c r="L28" s="644"/>
      <c r="M28" s="645"/>
      <c r="N28" s="645"/>
      <c r="O28" s="645"/>
      <c r="P28" s="645"/>
      <c r="Q28" s="645"/>
      <c r="R28" s="644"/>
      <c r="S28" s="644"/>
      <c r="T28" s="644"/>
      <c r="U28" s="646"/>
      <c r="V28" s="647"/>
      <c r="W28" s="646"/>
      <c r="X28" s="646"/>
      <c r="Y28" s="648"/>
      <c r="Z28" s="646"/>
      <c r="AA28" s="649"/>
      <c r="AB28" s="652">
        <v>128</v>
      </c>
      <c r="AC28" s="652"/>
      <c r="AD28" s="652">
        <v>129</v>
      </c>
      <c r="AE28" s="652"/>
      <c r="AF28" s="652">
        <v>128</v>
      </c>
      <c r="AG28" s="652"/>
      <c r="AH28" s="652">
        <v>140</v>
      </c>
      <c r="AI28" s="652"/>
      <c r="AJ28" s="652">
        <v>131</v>
      </c>
      <c r="AK28" s="652"/>
      <c r="AL28" s="652">
        <v>148</v>
      </c>
      <c r="AM28" s="652"/>
      <c r="AN28" s="654"/>
      <c r="AO28" s="654"/>
      <c r="AP28" s="654"/>
      <c r="AQ28" s="654"/>
      <c r="AR28" s="654"/>
      <c r="AS28" s="654"/>
      <c r="AT28" s="654"/>
      <c r="AU28" s="654"/>
      <c r="AV28" s="654"/>
      <c r="AW28" s="654"/>
      <c r="AX28" s="654"/>
      <c r="AY28" s="654"/>
      <c r="AZ28" s="654"/>
      <c r="BA28" s="654"/>
      <c r="BB28" s="654"/>
      <c r="BC28" s="654"/>
      <c r="BD28" s="654"/>
      <c r="BE28" s="654"/>
      <c r="BF28" s="655"/>
      <c r="BG28" s="655"/>
    </row>
    <row r="29" spans="1:60" s="656" customFormat="1" ht="15.75" x14ac:dyDescent="0.2">
      <c r="A29" s="653"/>
      <c r="B29" s="651" t="s">
        <v>7</v>
      </c>
      <c r="C29" s="651"/>
      <c r="D29" s="644"/>
      <c r="E29" s="645"/>
      <c r="F29" s="645"/>
      <c r="G29" s="645"/>
      <c r="H29" s="645"/>
      <c r="I29" s="645"/>
      <c r="J29" s="644"/>
      <c r="K29" s="644"/>
      <c r="L29" s="644"/>
      <c r="M29" s="645"/>
      <c r="N29" s="645"/>
      <c r="O29" s="645"/>
      <c r="P29" s="645"/>
      <c r="Q29" s="645"/>
      <c r="R29" s="644"/>
      <c r="S29" s="644"/>
      <c r="T29" s="644"/>
      <c r="U29" s="646"/>
      <c r="V29" s="647"/>
      <c r="W29" s="646"/>
      <c r="X29" s="646"/>
      <c r="Y29" s="648"/>
      <c r="Z29" s="646"/>
      <c r="AA29" s="649"/>
      <c r="AB29" s="652">
        <v>154</v>
      </c>
      <c r="AC29" s="652"/>
      <c r="AD29" s="652">
        <v>151</v>
      </c>
      <c r="AE29" s="652"/>
      <c r="AF29" s="652">
        <v>141</v>
      </c>
      <c r="AG29" s="652"/>
      <c r="AH29" s="652">
        <v>150</v>
      </c>
      <c r="AI29" s="652"/>
      <c r="AJ29" s="652">
        <v>153</v>
      </c>
      <c r="AK29" s="652"/>
      <c r="AL29" s="652">
        <v>155</v>
      </c>
      <c r="AM29" s="652"/>
      <c r="AN29" s="654"/>
      <c r="AO29" s="654"/>
      <c r="AP29" s="654"/>
      <c r="AQ29" s="654"/>
      <c r="AR29" s="654"/>
      <c r="AS29" s="654"/>
      <c r="AT29" s="654"/>
      <c r="AU29" s="654"/>
      <c r="AV29" s="654"/>
      <c r="AW29" s="654"/>
      <c r="AX29" s="654"/>
      <c r="AY29" s="654"/>
      <c r="AZ29" s="654"/>
      <c r="BA29" s="654"/>
      <c r="BB29" s="654"/>
      <c r="BC29" s="654"/>
      <c r="BD29" s="654"/>
      <c r="BE29" s="654"/>
      <c r="BF29" s="655"/>
      <c r="BG29" s="655"/>
    </row>
    <row r="30" spans="1:60" s="656" customFormat="1" ht="15.75" x14ac:dyDescent="0.2">
      <c r="A30" s="653"/>
      <c r="B30" s="651" t="s">
        <v>801</v>
      </c>
      <c r="C30" s="651"/>
      <c r="D30" s="644"/>
      <c r="E30" s="645"/>
      <c r="F30" s="645"/>
      <c r="G30" s="645"/>
      <c r="H30" s="645"/>
      <c r="I30" s="645"/>
      <c r="J30" s="644"/>
      <c r="K30" s="644"/>
      <c r="L30" s="644"/>
      <c r="M30" s="645"/>
      <c r="N30" s="645"/>
      <c r="O30" s="645"/>
      <c r="P30" s="645"/>
      <c r="Q30" s="645"/>
      <c r="R30" s="644"/>
      <c r="S30" s="644"/>
      <c r="T30" s="644"/>
      <c r="U30" s="646"/>
      <c r="V30" s="647"/>
      <c r="W30" s="646"/>
      <c r="X30" s="646"/>
      <c r="Y30" s="648"/>
      <c r="Z30" s="646"/>
      <c r="AA30" s="649"/>
      <c r="AB30" s="652">
        <v>105</v>
      </c>
      <c r="AC30" s="652"/>
      <c r="AD30" s="652">
        <v>100</v>
      </c>
      <c r="AE30" s="652"/>
      <c r="AF30" s="652">
        <v>105</v>
      </c>
      <c r="AG30" s="652"/>
      <c r="AH30" s="652">
        <v>101</v>
      </c>
      <c r="AI30" s="652"/>
      <c r="AJ30" s="652">
        <v>96</v>
      </c>
      <c r="AK30" s="652"/>
      <c r="AL30" s="652">
        <v>96</v>
      </c>
      <c r="AM30" s="652"/>
      <c r="AN30" s="654"/>
      <c r="AO30" s="654"/>
      <c r="AP30" s="654"/>
      <c r="AQ30" s="654"/>
      <c r="AR30" s="654"/>
      <c r="AS30" s="654"/>
      <c r="AT30" s="654"/>
      <c r="AU30" s="654"/>
      <c r="AV30" s="654"/>
      <c r="AW30" s="654"/>
      <c r="AX30" s="654"/>
      <c r="AY30" s="654"/>
      <c r="AZ30" s="654"/>
      <c r="BA30" s="654"/>
      <c r="BB30" s="654"/>
      <c r="BC30" s="654"/>
      <c r="BD30" s="654"/>
      <c r="BE30" s="654"/>
      <c r="BF30" s="655"/>
      <c r="BG30" s="655"/>
    </row>
    <row r="31" spans="1:60" s="761" customFormat="1" ht="48" x14ac:dyDescent="0.2">
      <c r="A31" s="756"/>
      <c r="B31" s="146" t="s">
        <v>1066</v>
      </c>
      <c r="C31" s="146"/>
      <c r="D31" s="242" t="s">
        <v>1067</v>
      </c>
      <c r="E31" s="17" t="s">
        <v>569</v>
      </c>
      <c r="F31" s="17" t="s">
        <v>570</v>
      </c>
      <c r="G31" s="17" t="s">
        <v>279</v>
      </c>
      <c r="H31" s="17" t="s">
        <v>571</v>
      </c>
      <c r="I31" s="17" t="s">
        <v>570</v>
      </c>
      <c r="J31" s="242" t="s">
        <v>1068</v>
      </c>
      <c r="K31" s="87" t="s">
        <v>584</v>
      </c>
      <c r="L31" s="242"/>
      <c r="M31" s="17" t="s">
        <v>1069</v>
      </c>
      <c r="N31" s="762" t="s">
        <v>1070</v>
      </c>
      <c r="O31" s="17" t="s">
        <v>1071</v>
      </c>
      <c r="P31" s="17" t="s">
        <v>581</v>
      </c>
      <c r="Q31" s="17"/>
      <c r="R31" s="242" t="s">
        <v>1074</v>
      </c>
      <c r="S31" s="242" t="s">
        <v>1072</v>
      </c>
      <c r="T31" s="242" t="s">
        <v>1073</v>
      </c>
      <c r="U31" s="757"/>
      <c r="V31" s="213" t="s">
        <v>794</v>
      </c>
      <c r="W31" s="757"/>
      <c r="X31" s="757"/>
      <c r="Y31" s="758"/>
      <c r="Z31" s="757"/>
      <c r="AA31" s="759"/>
      <c r="AB31" s="277"/>
      <c r="AC31" s="277"/>
      <c r="AD31" s="277"/>
      <c r="AE31" s="277"/>
      <c r="AF31" s="763">
        <v>0.29399999999999998</v>
      </c>
      <c r="AG31" s="763"/>
      <c r="AH31" s="763">
        <v>0.34899999999999998</v>
      </c>
      <c r="AI31" s="763"/>
      <c r="AJ31" s="763">
        <v>0.379</v>
      </c>
      <c r="AK31" s="763"/>
      <c r="AL31" s="763">
        <v>0.38200000000000001</v>
      </c>
      <c r="AM31" s="763"/>
      <c r="AN31" s="760"/>
      <c r="AO31" s="760"/>
      <c r="AP31" s="760"/>
      <c r="AQ31" s="760"/>
      <c r="AR31" s="760"/>
      <c r="AS31" s="760"/>
      <c r="AT31" s="760"/>
      <c r="AU31" s="760"/>
      <c r="AV31" s="760"/>
      <c r="AW31" s="760"/>
      <c r="AX31" s="760"/>
      <c r="AY31" s="760"/>
      <c r="AZ31" s="760"/>
      <c r="BA31" s="760"/>
      <c r="BB31" s="760"/>
      <c r="BC31" s="760"/>
      <c r="BD31" s="760"/>
      <c r="BE31" s="760"/>
      <c r="BF31" s="274"/>
      <c r="BG31" s="274"/>
    </row>
    <row r="32" spans="1:60" s="469" customFormat="1" ht="60" x14ac:dyDescent="0.25">
      <c r="A32" s="444">
        <v>3</v>
      </c>
      <c r="B32" s="727" t="s">
        <v>129</v>
      </c>
      <c r="C32" s="727"/>
      <c r="D32" s="87" t="s">
        <v>582</v>
      </c>
      <c r="E32" s="86" t="s">
        <v>569</v>
      </c>
      <c r="F32" s="86" t="s">
        <v>570</v>
      </c>
      <c r="G32" s="86" t="s">
        <v>279</v>
      </c>
      <c r="H32" s="86" t="s">
        <v>571</v>
      </c>
      <c r="I32" s="86" t="s">
        <v>570</v>
      </c>
      <c r="J32" s="87" t="s">
        <v>583</v>
      </c>
      <c r="K32" s="87" t="s">
        <v>584</v>
      </c>
      <c r="L32" s="87" t="s">
        <v>574</v>
      </c>
      <c r="M32" s="86" t="s">
        <v>575</v>
      </c>
      <c r="N32" s="86"/>
      <c r="O32" s="86" t="s">
        <v>285</v>
      </c>
      <c r="P32" s="86" t="s">
        <v>577</v>
      </c>
      <c r="Q32" s="86"/>
      <c r="R32" s="87" t="s">
        <v>578</v>
      </c>
      <c r="S32" s="87"/>
      <c r="T32" s="87" t="s">
        <v>981</v>
      </c>
      <c r="U32" s="189" t="s">
        <v>794</v>
      </c>
      <c r="V32" s="213" t="s">
        <v>794</v>
      </c>
      <c r="W32" s="189"/>
      <c r="X32" s="189"/>
      <c r="Y32" s="214"/>
      <c r="Z32" s="189"/>
      <c r="AA32" s="215"/>
      <c r="AB32" s="702">
        <v>2005</v>
      </c>
      <c r="AC32" s="702"/>
      <c r="AD32" s="702">
        <v>2006</v>
      </c>
      <c r="AE32" s="702"/>
      <c r="AF32" s="702">
        <v>2007</v>
      </c>
      <c r="AG32" s="702"/>
      <c r="AH32" s="702">
        <v>2008</v>
      </c>
      <c r="AI32" s="702"/>
      <c r="AJ32" s="702">
        <v>2009</v>
      </c>
      <c r="AK32" s="702"/>
      <c r="AL32" s="702">
        <v>2010</v>
      </c>
      <c r="AM32" s="702"/>
      <c r="AN32" s="275"/>
      <c r="AO32" s="275"/>
      <c r="AP32" s="275"/>
      <c r="AQ32" s="275"/>
      <c r="AR32" s="275"/>
      <c r="AS32" s="275"/>
      <c r="AT32" s="275"/>
      <c r="AU32" s="275"/>
      <c r="AV32" s="275"/>
      <c r="AW32" s="275"/>
      <c r="AX32" s="275"/>
      <c r="AY32" s="275"/>
      <c r="AZ32" s="275"/>
      <c r="BA32" s="275"/>
      <c r="BB32" s="275"/>
      <c r="BC32" s="275"/>
      <c r="BD32" s="275"/>
      <c r="BE32" s="275"/>
      <c r="BF32" s="275"/>
      <c r="BG32" s="275"/>
    </row>
    <row r="33" spans="1:59" s="469" customFormat="1" ht="15.75" x14ac:dyDescent="0.25">
      <c r="A33" s="444"/>
      <c r="B33" s="252" t="s">
        <v>3</v>
      </c>
      <c r="C33" s="252"/>
      <c r="D33" s="87"/>
      <c r="E33" s="86"/>
      <c r="F33" s="86"/>
      <c r="G33" s="86"/>
      <c r="H33" s="86"/>
      <c r="I33" s="86"/>
      <c r="J33" s="87"/>
      <c r="K33" s="87"/>
      <c r="L33" s="87"/>
      <c r="M33" s="86"/>
      <c r="N33" s="86"/>
      <c r="O33" s="86"/>
      <c r="P33" s="86"/>
      <c r="Q33" s="86"/>
      <c r="R33" s="87"/>
      <c r="S33" s="87"/>
      <c r="T33" s="87"/>
      <c r="U33" s="189"/>
      <c r="V33" s="213"/>
      <c r="W33" s="189"/>
      <c r="X33" s="189"/>
      <c r="Y33" s="214"/>
      <c r="Z33" s="189"/>
      <c r="AA33" s="215"/>
      <c r="AB33" s="550">
        <v>98074852</v>
      </c>
      <c r="AC33" s="550"/>
      <c r="AD33" s="548">
        <v>124758894</v>
      </c>
      <c r="AE33" s="548"/>
      <c r="AF33" s="550">
        <v>140089312</v>
      </c>
      <c r="AG33" s="550"/>
      <c r="AH33" s="548">
        <v>171999735</v>
      </c>
      <c r="AI33" s="548"/>
      <c r="AJ33" s="550">
        <v>191526520</v>
      </c>
      <c r="AK33" s="550"/>
      <c r="AL33" s="548">
        <v>192278493</v>
      </c>
      <c r="AM33" s="548"/>
      <c r="AN33" s="275"/>
      <c r="AO33" s="275"/>
      <c r="AP33" s="275"/>
      <c r="AQ33" s="275"/>
      <c r="AR33" s="275"/>
      <c r="AS33" s="275"/>
      <c r="AT33" s="275"/>
      <c r="AU33" s="275"/>
      <c r="AV33" s="275"/>
      <c r="AW33" s="275"/>
      <c r="AX33" s="275"/>
      <c r="AY33" s="275"/>
      <c r="AZ33" s="275"/>
      <c r="BA33" s="275"/>
      <c r="BB33" s="275"/>
      <c r="BC33" s="275"/>
      <c r="BD33" s="275"/>
      <c r="BE33" s="275"/>
      <c r="BF33" s="275"/>
      <c r="BG33" s="275"/>
    </row>
    <row r="34" spans="1:59" s="469" customFormat="1" ht="15.75" x14ac:dyDescent="0.25">
      <c r="A34" s="444"/>
      <c r="B34" s="252" t="s">
        <v>4</v>
      </c>
      <c r="C34" s="252"/>
      <c r="D34" s="87"/>
      <c r="E34" s="86"/>
      <c r="F34" s="86"/>
      <c r="G34" s="86"/>
      <c r="H34" s="86"/>
      <c r="I34" s="86"/>
      <c r="J34" s="87"/>
      <c r="K34" s="87"/>
      <c r="L34" s="87"/>
      <c r="M34" s="86"/>
      <c r="N34" s="86"/>
      <c r="O34" s="86"/>
      <c r="P34" s="86"/>
      <c r="Q34" s="86"/>
      <c r="R34" s="87"/>
      <c r="S34" s="87"/>
      <c r="T34" s="87"/>
      <c r="U34" s="189"/>
      <c r="V34" s="213"/>
      <c r="W34" s="189"/>
      <c r="X34" s="189"/>
      <c r="Y34" s="214"/>
      <c r="Z34" s="189"/>
      <c r="AA34" s="215"/>
      <c r="AB34" s="550">
        <v>33111034</v>
      </c>
      <c r="AC34" s="550"/>
      <c r="AD34" s="548">
        <v>69663487</v>
      </c>
      <c r="AE34" s="548"/>
      <c r="AF34" s="550">
        <v>77219473</v>
      </c>
      <c r="AG34" s="550"/>
      <c r="AH34" s="548">
        <v>75311083</v>
      </c>
      <c r="AI34" s="548"/>
      <c r="AJ34" s="550">
        <v>78265087</v>
      </c>
      <c r="AK34" s="550"/>
      <c r="AL34" s="548">
        <v>70418810</v>
      </c>
      <c r="AM34" s="548"/>
      <c r="AN34" s="275"/>
      <c r="AO34" s="275"/>
      <c r="AP34" s="275"/>
      <c r="AQ34" s="275"/>
      <c r="AR34" s="275"/>
      <c r="AS34" s="275"/>
      <c r="AT34" s="275"/>
      <c r="AU34" s="275"/>
      <c r="AV34" s="275"/>
      <c r="AW34" s="275"/>
      <c r="AX34" s="275"/>
      <c r="AY34" s="275"/>
      <c r="AZ34" s="275"/>
      <c r="BA34" s="275"/>
      <c r="BB34" s="275"/>
      <c r="BC34" s="275"/>
      <c r="BD34" s="275"/>
      <c r="BE34" s="275"/>
      <c r="BF34" s="275"/>
      <c r="BG34" s="275"/>
    </row>
    <row r="35" spans="1:59" s="469" customFormat="1" ht="15.75" x14ac:dyDescent="0.25">
      <c r="A35" s="444"/>
      <c r="B35" s="494" t="s">
        <v>5</v>
      </c>
      <c r="C35" s="494"/>
      <c r="D35" s="87"/>
      <c r="E35" s="86"/>
      <c r="F35" s="86"/>
      <c r="G35" s="86"/>
      <c r="H35" s="86"/>
      <c r="I35" s="86"/>
      <c r="J35" s="87"/>
      <c r="K35" s="87"/>
      <c r="L35" s="87"/>
      <c r="M35" s="86"/>
      <c r="N35" s="86"/>
      <c r="O35" s="86"/>
      <c r="P35" s="86"/>
      <c r="Q35" s="86"/>
      <c r="R35" s="87"/>
      <c r="S35" s="87"/>
      <c r="T35" s="87"/>
      <c r="U35" s="189"/>
      <c r="V35" s="213"/>
      <c r="W35" s="189"/>
      <c r="X35" s="189"/>
      <c r="Y35" s="214"/>
      <c r="Z35" s="189"/>
      <c r="AA35" s="215"/>
      <c r="AB35" s="550">
        <v>66959869</v>
      </c>
      <c r="AC35" s="550"/>
      <c r="AD35" s="548">
        <v>65577704</v>
      </c>
      <c r="AE35" s="548"/>
      <c r="AF35" s="550">
        <v>61453386</v>
      </c>
      <c r="AG35" s="550"/>
      <c r="AH35" s="548">
        <v>63809479</v>
      </c>
      <c r="AI35" s="548"/>
      <c r="AJ35" s="550">
        <v>75901218</v>
      </c>
      <c r="AK35" s="550"/>
      <c r="AL35" s="548">
        <v>83274562</v>
      </c>
      <c r="AM35" s="548"/>
      <c r="AN35" s="275"/>
      <c r="AO35" s="275"/>
      <c r="AP35" s="275"/>
      <c r="AQ35" s="275"/>
      <c r="AR35" s="275"/>
      <c r="AS35" s="275"/>
      <c r="AT35" s="275"/>
      <c r="AU35" s="275"/>
      <c r="AV35" s="275"/>
      <c r="AW35" s="275"/>
      <c r="AX35" s="275"/>
      <c r="AY35" s="275"/>
      <c r="AZ35" s="275"/>
      <c r="BA35" s="275"/>
      <c r="BB35" s="275"/>
      <c r="BC35" s="275"/>
      <c r="BD35" s="275"/>
      <c r="BE35" s="275"/>
      <c r="BF35" s="275"/>
      <c r="BG35" s="275"/>
    </row>
    <row r="36" spans="1:59" s="469" customFormat="1" ht="15.75" x14ac:dyDescent="0.25">
      <c r="A36" s="444"/>
      <c r="B36" s="252" t="s">
        <v>251</v>
      </c>
      <c r="C36" s="252"/>
      <c r="D36" s="87"/>
      <c r="E36" s="86"/>
      <c r="F36" s="86"/>
      <c r="G36" s="86"/>
      <c r="H36" s="86"/>
      <c r="I36" s="86"/>
      <c r="J36" s="87"/>
      <c r="K36" s="87"/>
      <c r="L36" s="87"/>
      <c r="M36" s="86"/>
      <c r="N36" s="86"/>
      <c r="O36" s="86"/>
      <c r="P36" s="86"/>
      <c r="Q36" s="86"/>
      <c r="R36" s="87"/>
      <c r="S36" s="87"/>
      <c r="T36" s="87"/>
      <c r="U36" s="189"/>
      <c r="V36" s="213"/>
      <c r="W36" s="189"/>
      <c r="X36" s="189"/>
      <c r="Y36" s="214"/>
      <c r="Z36" s="189"/>
      <c r="AA36" s="215"/>
      <c r="AB36" s="550">
        <v>83848289</v>
      </c>
      <c r="AC36" s="550"/>
      <c r="AD36" s="548">
        <v>93693751</v>
      </c>
      <c r="AE36" s="548"/>
      <c r="AF36" s="550">
        <v>101582818</v>
      </c>
      <c r="AG36" s="550"/>
      <c r="AH36" s="548">
        <v>116657415</v>
      </c>
      <c r="AI36" s="548"/>
      <c r="AJ36" s="550">
        <v>129094301</v>
      </c>
      <c r="AK36" s="550"/>
      <c r="AL36" s="548">
        <v>124821938</v>
      </c>
      <c r="AM36" s="548"/>
      <c r="AN36" s="275"/>
      <c r="AO36" s="275"/>
      <c r="AP36" s="275"/>
      <c r="AQ36" s="275"/>
      <c r="AR36" s="275"/>
      <c r="AS36" s="275"/>
      <c r="AT36" s="275"/>
      <c r="AU36" s="275"/>
      <c r="AV36" s="275"/>
      <c r="AW36" s="275"/>
      <c r="AX36" s="275"/>
      <c r="AY36" s="275"/>
      <c r="AZ36" s="275"/>
      <c r="BA36" s="275"/>
      <c r="BB36" s="275"/>
      <c r="BC36" s="275"/>
      <c r="BD36" s="275"/>
      <c r="BE36" s="275"/>
      <c r="BF36" s="275"/>
      <c r="BG36" s="275"/>
    </row>
    <row r="37" spans="1:59" s="469" customFormat="1" ht="15.75" x14ac:dyDescent="0.25">
      <c r="A37" s="444"/>
      <c r="B37" s="252" t="s">
        <v>252</v>
      </c>
      <c r="C37" s="252"/>
      <c r="D37" s="87"/>
      <c r="E37" s="86"/>
      <c r="F37" s="86"/>
      <c r="G37" s="86"/>
      <c r="H37" s="86"/>
      <c r="I37" s="86"/>
      <c r="J37" s="87"/>
      <c r="K37" s="87"/>
      <c r="L37" s="87"/>
      <c r="M37" s="86"/>
      <c r="N37" s="86"/>
      <c r="O37" s="86"/>
      <c r="P37" s="86"/>
      <c r="Q37" s="86"/>
      <c r="R37" s="87"/>
      <c r="S37" s="87"/>
      <c r="T37" s="87"/>
      <c r="U37" s="189"/>
      <c r="V37" s="213"/>
      <c r="W37" s="189"/>
      <c r="X37" s="189"/>
      <c r="Y37" s="214"/>
      <c r="Z37" s="189"/>
      <c r="AA37" s="215"/>
      <c r="AB37" s="550">
        <v>67269166</v>
      </c>
      <c r="AC37" s="550"/>
      <c r="AD37" s="548">
        <v>53370673</v>
      </c>
      <c r="AE37" s="548"/>
      <c r="AF37" s="550">
        <v>59036468</v>
      </c>
      <c r="AG37" s="550"/>
      <c r="AH37" s="548">
        <v>124088494</v>
      </c>
      <c r="AI37" s="548"/>
      <c r="AJ37" s="550">
        <v>129712269</v>
      </c>
      <c r="AK37" s="550"/>
      <c r="AL37" s="548">
        <v>128276219</v>
      </c>
      <c r="AM37" s="548"/>
      <c r="AN37" s="275"/>
      <c r="AO37" s="275"/>
      <c r="AP37" s="275"/>
      <c r="AQ37" s="275"/>
      <c r="AR37" s="275"/>
      <c r="AS37" s="275"/>
      <c r="AT37" s="275"/>
      <c r="AU37" s="275"/>
      <c r="AV37" s="275"/>
      <c r="AW37" s="275"/>
      <c r="AX37" s="275"/>
      <c r="AY37" s="275"/>
      <c r="AZ37" s="275"/>
      <c r="BA37" s="275"/>
      <c r="BB37" s="275"/>
      <c r="BC37" s="275"/>
      <c r="BD37" s="275"/>
      <c r="BE37" s="275"/>
      <c r="BF37" s="275"/>
      <c r="BG37" s="275"/>
    </row>
    <row r="38" spans="1:59" s="469" customFormat="1" ht="13.5" customHeight="1" x14ac:dyDescent="0.25">
      <c r="A38" s="444"/>
      <c r="B38" s="252" t="s">
        <v>6</v>
      </c>
      <c r="C38" s="252"/>
      <c r="D38" s="87"/>
      <c r="E38" s="86"/>
      <c r="F38" s="86"/>
      <c r="G38" s="86"/>
      <c r="H38" s="86"/>
      <c r="I38" s="86"/>
      <c r="J38" s="87"/>
      <c r="K38" s="87"/>
      <c r="L38" s="87"/>
      <c r="M38" s="86"/>
      <c r="N38" s="86"/>
      <c r="O38" s="86"/>
      <c r="P38" s="86"/>
      <c r="Q38" s="86"/>
      <c r="R38" s="87"/>
      <c r="S38" s="87"/>
      <c r="T38" s="87"/>
      <c r="U38" s="189"/>
      <c r="V38" s="213"/>
      <c r="W38" s="189"/>
      <c r="X38" s="189"/>
      <c r="Y38" s="214"/>
      <c r="Z38" s="189"/>
      <c r="AA38" s="215"/>
      <c r="AB38" s="550">
        <v>20198640</v>
      </c>
      <c r="AC38" s="550"/>
      <c r="AD38" s="548">
        <v>22159000</v>
      </c>
      <c r="AE38" s="548"/>
      <c r="AF38" s="550">
        <v>29412328</v>
      </c>
      <c r="AG38" s="550"/>
      <c r="AH38" s="548">
        <v>33300000</v>
      </c>
      <c r="AI38" s="548"/>
      <c r="AJ38" s="550">
        <v>35037728</v>
      </c>
      <c r="AK38" s="550"/>
      <c r="AL38" s="548">
        <v>35122000</v>
      </c>
      <c r="AM38" s="548"/>
      <c r="AN38" s="275"/>
      <c r="AO38" s="275"/>
      <c r="AP38" s="275"/>
      <c r="AQ38" s="275"/>
      <c r="AR38" s="275"/>
      <c r="AS38" s="275"/>
      <c r="AT38" s="275"/>
      <c r="AU38" s="275"/>
      <c r="AV38" s="275"/>
      <c r="AW38" s="275"/>
      <c r="AX38" s="275"/>
      <c r="AY38" s="275"/>
      <c r="AZ38" s="275"/>
      <c r="BA38" s="275"/>
      <c r="BB38" s="275"/>
      <c r="BC38" s="275"/>
      <c r="BD38" s="275"/>
      <c r="BE38" s="275"/>
      <c r="BF38" s="275"/>
      <c r="BG38" s="275"/>
    </row>
    <row r="39" spans="1:59" s="469" customFormat="1" ht="15.75" x14ac:dyDescent="0.25">
      <c r="A39" s="444"/>
      <c r="B39" s="494" t="s">
        <v>8</v>
      </c>
      <c r="C39" s="494"/>
      <c r="D39" s="87"/>
      <c r="E39" s="86"/>
      <c r="F39" s="86"/>
      <c r="G39" s="86"/>
      <c r="H39" s="86"/>
      <c r="I39" s="86"/>
      <c r="J39" s="87"/>
      <c r="K39" s="87"/>
      <c r="L39" s="87"/>
      <c r="M39" s="86"/>
      <c r="N39" s="86"/>
      <c r="O39" s="86"/>
      <c r="P39" s="86"/>
      <c r="Q39" s="86"/>
      <c r="R39" s="87"/>
      <c r="S39" s="87"/>
      <c r="T39" s="87"/>
      <c r="U39" s="189"/>
      <c r="V39" s="213"/>
      <c r="W39" s="189"/>
      <c r="X39" s="189"/>
      <c r="Y39" s="214"/>
      <c r="Z39" s="189"/>
      <c r="AA39" s="215"/>
      <c r="AB39" s="550">
        <v>24162953</v>
      </c>
      <c r="AC39" s="550"/>
      <c r="AD39" s="548">
        <v>22995048</v>
      </c>
      <c r="AE39" s="548"/>
      <c r="AF39" s="550">
        <v>24793783</v>
      </c>
      <c r="AG39" s="550"/>
      <c r="AH39" s="548">
        <v>25756971</v>
      </c>
      <c r="AI39" s="548"/>
      <c r="AJ39" s="550">
        <v>28305370</v>
      </c>
      <c r="AK39" s="550"/>
      <c r="AL39" s="548">
        <v>25031372</v>
      </c>
      <c r="AM39" s="548"/>
      <c r="AN39" s="275"/>
      <c r="AO39" s="275"/>
      <c r="AP39" s="275"/>
      <c r="AQ39" s="275"/>
      <c r="AR39" s="275"/>
      <c r="AS39" s="275"/>
      <c r="AT39" s="275"/>
      <c r="AU39" s="275"/>
      <c r="AV39" s="275"/>
      <c r="AW39" s="275"/>
      <c r="AX39" s="275"/>
      <c r="AY39" s="275"/>
      <c r="AZ39" s="275"/>
      <c r="BA39" s="275"/>
      <c r="BB39" s="275"/>
      <c r="BC39" s="275"/>
      <c r="BD39" s="275"/>
      <c r="BE39" s="275"/>
      <c r="BF39" s="275"/>
      <c r="BG39" s="275"/>
    </row>
    <row r="40" spans="1:59" s="469" customFormat="1" ht="15.75" x14ac:dyDescent="0.25">
      <c r="A40" s="444"/>
      <c r="B40" s="494" t="s">
        <v>7</v>
      </c>
      <c r="C40" s="494"/>
      <c r="D40" s="87"/>
      <c r="E40" s="86"/>
      <c r="F40" s="86"/>
      <c r="G40" s="86"/>
      <c r="H40" s="86"/>
      <c r="I40" s="86"/>
      <c r="J40" s="87"/>
      <c r="K40" s="87"/>
      <c r="L40" s="87"/>
      <c r="M40" s="86"/>
      <c r="N40" s="86"/>
      <c r="O40" s="86"/>
      <c r="P40" s="86"/>
      <c r="Q40" s="86"/>
      <c r="R40" s="87"/>
      <c r="S40" s="87"/>
      <c r="T40" s="87"/>
      <c r="U40" s="189"/>
      <c r="V40" s="213"/>
      <c r="W40" s="189"/>
      <c r="X40" s="189"/>
      <c r="Y40" s="214"/>
      <c r="Z40" s="189"/>
      <c r="AA40" s="215"/>
      <c r="AB40" s="550">
        <v>24965280</v>
      </c>
      <c r="AC40" s="550"/>
      <c r="AD40" s="548">
        <v>27106874</v>
      </c>
      <c r="AE40" s="548"/>
      <c r="AF40" s="550">
        <v>38014431</v>
      </c>
      <c r="AG40" s="550"/>
      <c r="AH40" s="548">
        <v>38587412</v>
      </c>
      <c r="AI40" s="548"/>
      <c r="AJ40" s="550">
        <v>41381522</v>
      </c>
      <c r="AK40" s="550"/>
      <c r="AL40" s="548">
        <v>39780713</v>
      </c>
      <c r="AM40" s="548"/>
      <c r="AN40" s="275"/>
      <c r="AO40" s="275"/>
      <c r="AP40" s="275"/>
      <c r="AQ40" s="275"/>
      <c r="AR40" s="275"/>
      <c r="AS40" s="275"/>
      <c r="AT40" s="275"/>
      <c r="AU40" s="275"/>
      <c r="AV40" s="275"/>
      <c r="AW40" s="275"/>
      <c r="AX40" s="275"/>
      <c r="AY40" s="275"/>
      <c r="AZ40" s="275"/>
      <c r="BA40" s="275"/>
      <c r="BB40" s="275"/>
      <c r="BC40" s="275"/>
      <c r="BD40" s="275"/>
      <c r="BE40" s="275"/>
      <c r="BF40" s="275"/>
      <c r="BG40" s="275"/>
    </row>
    <row r="41" spans="1:59" s="469" customFormat="1" ht="15.75" x14ac:dyDescent="0.25">
      <c r="A41" s="444"/>
      <c r="B41" s="252" t="s">
        <v>801</v>
      </c>
      <c r="C41" s="252"/>
      <c r="D41" s="87"/>
      <c r="E41" s="86"/>
      <c r="F41" s="86"/>
      <c r="G41" s="86"/>
      <c r="H41" s="86"/>
      <c r="I41" s="86"/>
      <c r="J41" s="87"/>
      <c r="K41" s="87"/>
      <c r="L41" s="87"/>
      <c r="M41" s="86"/>
      <c r="N41" s="86"/>
      <c r="O41" s="86"/>
      <c r="P41" s="86"/>
      <c r="Q41" s="86"/>
      <c r="R41" s="87"/>
      <c r="S41" s="87"/>
      <c r="T41" s="87"/>
      <c r="U41" s="189"/>
      <c r="V41" s="213"/>
      <c r="W41" s="189"/>
      <c r="X41" s="189"/>
      <c r="Y41" s="214"/>
      <c r="Z41" s="189"/>
      <c r="AA41" s="215"/>
      <c r="AB41" s="550">
        <v>24742720</v>
      </c>
      <c r="AC41" s="550"/>
      <c r="AD41" s="548">
        <v>27925170</v>
      </c>
      <c r="AE41" s="548"/>
      <c r="AF41" s="550">
        <v>27873912</v>
      </c>
      <c r="AG41" s="550"/>
      <c r="AH41" s="548">
        <v>33388055</v>
      </c>
      <c r="AI41" s="548"/>
      <c r="AJ41" s="550">
        <v>34072738</v>
      </c>
      <c r="AK41" s="550"/>
      <c r="AL41" s="548">
        <v>36838663</v>
      </c>
      <c r="AM41" s="548"/>
      <c r="AN41" s="275"/>
      <c r="AO41" s="275"/>
      <c r="AP41" s="275"/>
      <c r="AQ41" s="275"/>
      <c r="AR41" s="275"/>
      <c r="AS41" s="275"/>
      <c r="AT41" s="275"/>
      <c r="AU41" s="275"/>
      <c r="AV41" s="275"/>
      <c r="AW41" s="275"/>
      <c r="AX41" s="275"/>
      <c r="AY41" s="275"/>
      <c r="AZ41" s="275"/>
      <c r="BA41" s="275"/>
      <c r="BB41" s="275"/>
      <c r="BC41" s="275"/>
      <c r="BD41" s="275"/>
      <c r="BE41" s="275"/>
      <c r="BF41" s="275"/>
      <c r="BG41" s="275"/>
    </row>
    <row r="42" spans="1:59" s="469" customFormat="1" ht="15.75" x14ac:dyDescent="0.25">
      <c r="A42" s="444"/>
      <c r="B42" s="252"/>
      <c r="C42" s="252"/>
      <c r="D42" s="87"/>
      <c r="E42" s="86"/>
      <c r="F42" s="86"/>
      <c r="G42" s="86"/>
      <c r="H42" s="86"/>
      <c r="I42" s="86"/>
      <c r="J42" s="87"/>
      <c r="K42" s="87"/>
      <c r="L42" s="87"/>
      <c r="M42" s="86"/>
      <c r="N42" s="86"/>
      <c r="O42" s="86"/>
      <c r="P42" s="86"/>
      <c r="Q42" s="86"/>
      <c r="R42" s="87"/>
      <c r="S42" s="87"/>
      <c r="T42" s="87"/>
      <c r="U42" s="189"/>
      <c r="V42" s="213"/>
      <c r="W42" s="189"/>
      <c r="X42" s="189"/>
      <c r="Y42" s="214"/>
      <c r="Z42" s="189"/>
      <c r="AA42" s="215"/>
      <c r="AB42" s="550"/>
      <c r="AC42" s="550"/>
      <c r="AD42" s="548"/>
      <c r="AE42" s="548"/>
      <c r="AF42" s="550"/>
      <c r="AG42" s="550"/>
      <c r="AH42" s="548"/>
      <c r="AI42" s="548"/>
      <c r="AJ42" s="550"/>
      <c r="AK42" s="550"/>
      <c r="AL42" s="548"/>
      <c r="AM42" s="548"/>
      <c r="AN42" s="275"/>
      <c r="AO42" s="275"/>
      <c r="AP42" s="275"/>
      <c r="AQ42" s="275"/>
      <c r="AR42" s="275"/>
      <c r="AS42" s="275"/>
      <c r="AT42" s="275"/>
      <c r="AU42" s="275"/>
      <c r="AV42" s="275"/>
      <c r="AW42" s="275"/>
      <c r="AX42" s="275"/>
      <c r="AY42" s="275"/>
      <c r="AZ42" s="275"/>
      <c r="BA42" s="275"/>
      <c r="BB42" s="275"/>
      <c r="BC42" s="275"/>
      <c r="BD42" s="275"/>
      <c r="BE42" s="275"/>
      <c r="BF42" s="275"/>
      <c r="BG42" s="275"/>
    </row>
    <row r="43" spans="1:59" ht="48" x14ac:dyDescent="0.25">
      <c r="A43" s="85">
        <v>4</v>
      </c>
      <c r="B43" s="141" t="s">
        <v>253</v>
      </c>
      <c r="C43" s="141"/>
      <c r="D43" s="87" t="s">
        <v>585</v>
      </c>
      <c r="E43" s="86" t="s">
        <v>569</v>
      </c>
      <c r="F43" s="86" t="s">
        <v>570</v>
      </c>
      <c r="G43" s="86" t="s">
        <v>279</v>
      </c>
      <c r="H43" s="86" t="s">
        <v>571</v>
      </c>
      <c r="I43" s="86" t="s">
        <v>570</v>
      </c>
      <c r="J43" s="87" t="s">
        <v>883</v>
      </c>
      <c r="K43" s="87" t="s">
        <v>586</v>
      </c>
      <c r="L43" s="87" t="s">
        <v>455</v>
      </c>
      <c r="M43" s="86" t="s">
        <v>587</v>
      </c>
      <c r="N43" s="86"/>
      <c r="O43" s="86" t="s">
        <v>588</v>
      </c>
      <c r="P43" s="86" t="s">
        <v>581</v>
      </c>
      <c r="Q43" s="86"/>
      <c r="R43" s="87" t="s">
        <v>578</v>
      </c>
      <c r="S43" s="87"/>
      <c r="T43" s="87" t="s">
        <v>934</v>
      </c>
      <c r="U43" s="189" t="s">
        <v>794</v>
      </c>
      <c r="V43" s="213" t="s">
        <v>794</v>
      </c>
      <c r="W43" s="189"/>
      <c r="X43" s="189"/>
      <c r="Y43" s="214"/>
      <c r="Z43" s="189"/>
      <c r="AA43" s="215"/>
      <c r="AB43" s="703">
        <v>2009</v>
      </c>
      <c r="AC43" s="703"/>
      <c r="AD43" s="703">
        <v>2010</v>
      </c>
      <c r="AE43" s="703"/>
      <c r="AF43" s="703">
        <v>2011</v>
      </c>
      <c r="AG43" s="703"/>
      <c r="AH43" s="703">
        <v>2012</v>
      </c>
      <c r="AI43" s="777"/>
      <c r="AJ43" s="74"/>
      <c r="AK43" s="74"/>
      <c r="AL43" s="74"/>
      <c r="AM43" s="74"/>
      <c r="AN43" s="57"/>
      <c r="AO43" s="57"/>
      <c r="AP43" s="57"/>
      <c r="AQ43" s="57"/>
      <c r="AR43" s="57"/>
      <c r="AS43" s="57"/>
      <c r="AT43" s="57"/>
      <c r="AU43" s="57"/>
      <c r="AV43" s="57"/>
      <c r="AW43" s="57"/>
      <c r="AX43" s="57"/>
      <c r="AY43" s="57"/>
      <c r="AZ43" s="57"/>
      <c r="BA43" s="57"/>
      <c r="BB43" s="57"/>
      <c r="BC43" s="57"/>
      <c r="BD43" s="57"/>
      <c r="BE43" s="57"/>
      <c r="BF43" s="57"/>
      <c r="BG43" s="57"/>
    </row>
    <row r="44" spans="1:59" ht="15.75" x14ac:dyDescent="0.25">
      <c r="A44" s="85"/>
      <c r="B44" s="252" t="s">
        <v>3</v>
      </c>
      <c r="C44" s="252"/>
      <c r="D44" s="87"/>
      <c r="E44" s="86"/>
      <c r="F44" s="86"/>
      <c r="G44" s="86"/>
      <c r="H44" s="86"/>
      <c r="I44" s="86"/>
      <c r="J44" s="87"/>
      <c r="K44" s="87"/>
      <c r="L44" s="87"/>
      <c r="M44" s="86"/>
      <c r="N44" s="86"/>
      <c r="O44" s="86"/>
      <c r="P44" s="86"/>
      <c r="Q44" s="86"/>
      <c r="R44" s="87"/>
      <c r="S44" s="87"/>
      <c r="T44" s="87"/>
      <c r="U44" s="189"/>
      <c r="V44" s="213"/>
      <c r="W44" s="189"/>
      <c r="X44" s="189"/>
      <c r="Y44" s="214"/>
      <c r="Z44" s="189"/>
      <c r="AA44" s="215"/>
      <c r="AB44" s="463">
        <v>98.47</v>
      </c>
      <c r="AC44" s="463"/>
      <c r="AD44" s="463">
        <v>98.4</v>
      </c>
      <c r="AE44" s="463"/>
      <c r="AF44" s="490">
        <v>97.69</v>
      </c>
      <c r="AG44" s="490"/>
      <c r="AH44" s="450">
        <v>0.98919999999999997</v>
      </c>
      <c r="AI44" s="450"/>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row>
    <row r="45" spans="1:59" ht="15.75" x14ac:dyDescent="0.25">
      <c r="A45" s="85"/>
      <c r="B45" s="252" t="s">
        <v>4</v>
      </c>
      <c r="C45" s="252"/>
      <c r="D45" s="87"/>
      <c r="E45" s="86"/>
      <c r="F45" s="86"/>
      <c r="G45" s="86"/>
      <c r="H45" s="86"/>
      <c r="I45" s="86"/>
      <c r="J45" s="87"/>
      <c r="K45" s="87"/>
      <c r="L45" s="87"/>
      <c r="M45" s="86"/>
      <c r="N45" s="86"/>
      <c r="O45" s="86"/>
      <c r="P45" s="86"/>
      <c r="Q45" s="86"/>
      <c r="R45" s="87"/>
      <c r="S45" s="87"/>
      <c r="T45" s="87"/>
      <c r="U45" s="189"/>
      <c r="V45" s="213"/>
      <c r="W45" s="189"/>
      <c r="X45" s="189"/>
      <c r="Y45" s="214"/>
      <c r="Z45" s="189"/>
      <c r="AA45" s="215"/>
      <c r="AB45" s="463">
        <v>95.76</v>
      </c>
      <c r="AC45" s="463"/>
      <c r="AD45" s="463">
        <v>96.4</v>
      </c>
      <c r="AE45" s="463"/>
      <c r="AF45" s="198">
        <v>90.41</v>
      </c>
      <c r="AG45" s="198"/>
      <c r="AH45" s="461">
        <v>0.95760000000000001</v>
      </c>
      <c r="AI45" s="461"/>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row>
    <row r="46" spans="1:59" ht="15.75" x14ac:dyDescent="0.25">
      <c r="A46" s="85"/>
      <c r="B46" s="252" t="s">
        <v>5</v>
      </c>
      <c r="C46" s="252"/>
      <c r="D46" s="87"/>
      <c r="E46" s="86"/>
      <c r="F46" s="86"/>
      <c r="G46" s="86"/>
      <c r="H46" s="86"/>
      <c r="I46" s="86"/>
      <c r="J46" s="87"/>
      <c r="K46" s="87"/>
      <c r="L46" s="87"/>
      <c r="M46" s="86"/>
      <c r="N46" s="86"/>
      <c r="O46" s="86"/>
      <c r="P46" s="86"/>
      <c r="Q46" s="86"/>
      <c r="R46" s="87"/>
      <c r="S46" s="87"/>
      <c r="T46" s="87"/>
      <c r="U46" s="190"/>
      <c r="V46" s="216"/>
      <c r="W46" s="190"/>
      <c r="X46" s="190"/>
      <c r="Y46" s="217"/>
      <c r="Z46" s="190"/>
      <c r="AA46" s="218"/>
      <c r="AB46" s="342">
        <v>100</v>
      </c>
      <c r="AC46" s="342"/>
      <c r="AD46" s="463">
        <v>98.2</v>
      </c>
      <c r="AE46" s="463"/>
      <c r="AF46" s="463">
        <v>97.61</v>
      </c>
      <c r="AG46" s="463"/>
      <c r="AH46" s="462">
        <v>0.98140000000000005</v>
      </c>
      <c r="AI46" s="462"/>
      <c r="AL46" s="57"/>
      <c r="AM46" s="57"/>
      <c r="AN46" s="57"/>
      <c r="AO46" s="57"/>
      <c r="AP46" s="57"/>
      <c r="AQ46" s="57"/>
      <c r="AR46" s="57"/>
      <c r="AS46" s="57"/>
      <c r="AT46" s="57"/>
      <c r="AU46" s="57"/>
      <c r="AV46" s="57"/>
      <c r="AW46" s="57"/>
      <c r="AX46" s="57"/>
      <c r="AY46" s="57"/>
      <c r="AZ46" s="57"/>
      <c r="BA46" s="57"/>
      <c r="BB46" s="57"/>
      <c r="BC46" s="57"/>
      <c r="BD46" s="57"/>
      <c r="BE46" s="57"/>
      <c r="BF46" s="57"/>
      <c r="BG46" s="57"/>
    </row>
    <row r="47" spans="1:59" ht="15.75" x14ac:dyDescent="0.25">
      <c r="A47" s="85"/>
      <c r="B47" s="252" t="s">
        <v>251</v>
      </c>
      <c r="C47" s="252"/>
      <c r="D47" s="87"/>
      <c r="E47" s="86"/>
      <c r="F47" s="86"/>
      <c r="G47" s="86"/>
      <c r="H47" s="86"/>
      <c r="I47" s="86"/>
      <c r="J47" s="87"/>
      <c r="K47" s="87"/>
      <c r="L47" s="87"/>
      <c r="M47" s="86"/>
      <c r="N47" s="86"/>
      <c r="O47" s="86"/>
      <c r="P47" s="86"/>
      <c r="Q47" s="86"/>
      <c r="R47" s="87"/>
      <c r="S47" s="87"/>
      <c r="T47" s="87"/>
      <c r="U47" s="190"/>
      <c r="V47" s="216"/>
      <c r="W47" s="190"/>
      <c r="X47" s="190"/>
      <c r="Y47" s="217"/>
      <c r="Z47" s="190"/>
      <c r="AA47" s="218"/>
      <c r="AB47" s="463">
        <v>96.5</v>
      </c>
      <c r="AC47" s="463"/>
      <c r="AD47" s="463">
        <v>96.1</v>
      </c>
      <c r="AE47" s="463"/>
      <c r="AF47" s="464">
        <v>96.05</v>
      </c>
      <c r="AG47" s="464"/>
      <c r="AH47" s="461">
        <v>0.98770000000000002</v>
      </c>
      <c r="AI47" s="461"/>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ht="15.75" x14ac:dyDescent="0.25">
      <c r="A48" s="85"/>
      <c r="B48" s="252" t="s">
        <v>252</v>
      </c>
      <c r="C48" s="252"/>
      <c r="D48" s="87"/>
      <c r="E48" s="86"/>
      <c r="F48" s="86"/>
      <c r="G48" s="86"/>
      <c r="H48" s="86"/>
      <c r="I48" s="86"/>
      <c r="J48" s="87"/>
      <c r="K48" s="87"/>
      <c r="L48" s="87"/>
      <c r="M48" s="86"/>
      <c r="N48" s="86"/>
      <c r="O48" s="86"/>
      <c r="P48" s="86"/>
      <c r="Q48" s="86"/>
      <c r="R48" s="87"/>
      <c r="S48" s="87"/>
      <c r="T48" s="87"/>
      <c r="U48" s="190"/>
      <c r="V48" s="216"/>
      <c r="W48" s="190"/>
      <c r="X48" s="190"/>
      <c r="Y48" s="217"/>
      <c r="Z48" s="190"/>
      <c r="AA48" s="218"/>
      <c r="AB48" s="463">
        <v>96.8</v>
      </c>
      <c r="AC48" s="463"/>
      <c r="AD48" s="463">
        <v>96.8</v>
      </c>
      <c r="AE48" s="463"/>
      <c r="AF48" s="463">
        <v>97.44</v>
      </c>
      <c r="AG48" s="463"/>
      <c r="AH48" s="461">
        <v>0.98950000000000005</v>
      </c>
      <c r="AI48" s="461"/>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row>
    <row r="49" spans="1:59" ht="16.5" customHeight="1" x14ac:dyDescent="0.25">
      <c r="A49" s="85"/>
      <c r="B49" s="252" t="s">
        <v>6</v>
      </c>
      <c r="C49" s="252"/>
      <c r="D49" s="87"/>
      <c r="E49" s="86"/>
      <c r="F49" s="86"/>
      <c r="G49" s="86"/>
      <c r="H49" s="86"/>
      <c r="I49" s="86"/>
      <c r="J49" s="87"/>
      <c r="K49" s="87"/>
      <c r="L49" s="87"/>
      <c r="M49" s="86"/>
      <c r="N49" s="86"/>
      <c r="O49" s="86"/>
      <c r="P49" s="86"/>
      <c r="Q49" s="86"/>
      <c r="R49" s="87"/>
      <c r="S49" s="87"/>
      <c r="T49" s="87"/>
      <c r="U49" s="190"/>
      <c r="V49" s="216"/>
      <c r="W49" s="190"/>
      <c r="X49" s="190"/>
      <c r="Y49" s="217"/>
      <c r="Z49" s="190"/>
      <c r="AA49" s="218"/>
      <c r="AB49" s="342">
        <v>85</v>
      </c>
      <c r="AC49" s="342"/>
      <c r="AD49" s="463">
        <v>95.1</v>
      </c>
      <c r="AE49" s="463"/>
      <c r="AF49" s="463">
        <v>90.11</v>
      </c>
      <c r="AG49" s="463"/>
      <c r="AH49" s="461">
        <v>0.90039999999999998</v>
      </c>
      <c r="AI49" s="461"/>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row>
    <row r="50" spans="1:59" ht="15.75" x14ac:dyDescent="0.25">
      <c r="A50" s="85"/>
      <c r="B50" s="252" t="s">
        <v>8</v>
      </c>
      <c r="C50" s="252"/>
      <c r="D50" s="87"/>
      <c r="E50" s="86"/>
      <c r="F50" s="86"/>
      <c r="G50" s="86"/>
      <c r="H50" s="86"/>
      <c r="I50" s="86"/>
      <c r="J50" s="87"/>
      <c r="K50" s="87"/>
      <c r="L50" s="87"/>
      <c r="M50" s="86"/>
      <c r="N50" s="86"/>
      <c r="O50" s="86"/>
      <c r="P50" s="86"/>
      <c r="Q50" s="86"/>
      <c r="R50" s="87"/>
      <c r="S50" s="87"/>
      <c r="T50" s="87"/>
      <c r="U50" s="190"/>
      <c r="V50" s="216"/>
      <c r="W50" s="190"/>
      <c r="X50" s="190"/>
      <c r="Y50" s="217"/>
      <c r="Z50" s="190"/>
      <c r="AA50" s="218"/>
      <c r="AB50" s="465" t="s">
        <v>882</v>
      </c>
      <c r="AC50" s="465"/>
      <c r="AD50" s="463">
        <v>95.2</v>
      </c>
      <c r="AE50" s="463"/>
      <c r="AF50" s="463">
        <v>91.28</v>
      </c>
      <c r="AG50" s="463"/>
      <c r="AH50" s="461">
        <v>0.92549999999999999</v>
      </c>
      <c r="AI50" s="461"/>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row>
    <row r="51" spans="1:59" ht="15.75" x14ac:dyDescent="0.25">
      <c r="A51" s="85"/>
      <c r="B51" s="252" t="s">
        <v>7</v>
      </c>
      <c r="C51" s="252"/>
      <c r="D51" s="87"/>
      <c r="E51" s="86"/>
      <c r="F51" s="86"/>
      <c r="G51" s="86"/>
      <c r="H51" s="86"/>
      <c r="I51" s="86"/>
      <c r="J51" s="87"/>
      <c r="K51" s="87"/>
      <c r="L51" s="87"/>
      <c r="M51" s="86"/>
      <c r="N51" s="86"/>
      <c r="O51" s="86"/>
      <c r="P51" s="86"/>
      <c r="Q51" s="86"/>
      <c r="R51" s="87"/>
      <c r="S51" s="87"/>
      <c r="T51" s="87"/>
      <c r="U51" s="190"/>
      <c r="V51" s="216"/>
      <c r="W51" s="190"/>
      <c r="X51" s="190"/>
      <c r="Y51" s="217"/>
      <c r="Z51" s="190"/>
      <c r="AA51" s="218"/>
      <c r="AB51" s="463">
        <v>97.5</v>
      </c>
      <c r="AC51" s="463"/>
      <c r="AD51" s="342">
        <v>95</v>
      </c>
      <c r="AE51" s="342"/>
      <c r="AF51" s="463">
        <v>85.56</v>
      </c>
      <c r="AG51" s="463"/>
      <c r="AH51" s="461">
        <v>0.84450000000000003</v>
      </c>
      <c r="AI51" s="461"/>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row>
    <row r="52" spans="1:59" ht="15.75" x14ac:dyDescent="0.25">
      <c r="A52" s="85"/>
      <c r="B52" s="252" t="s">
        <v>801</v>
      </c>
      <c r="C52" s="252"/>
      <c r="D52" s="87"/>
      <c r="E52" s="86"/>
      <c r="F52" s="86"/>
      <c r="G52" s="86"/>
      <c r="H52" s="86"/>
      <c r="I52" s="86"/>
      <c r="J52" s="87"/>
      <c r="K52" s="87"/>
      <c r="L52" s="87"/>
      <c r="M52" s="86"/>
      <c r="N52" s="86"/>
      <c r="O52" s="86"/>
      <c r="P52" s="86"/>
      <c r="Q52" s="86"/>
      <c r="R52" s="87"/>
      <c r="S52" s="87"/>
      <c r="T52" s="87"/>
      <c r="U52" s="190"/>
      <c r="V52" s="216"/>
      <c r="W52" s="190"/>
      <c r="X52" s="190"/>
      <c r="Y52" s="217"/>
      <c r="Z52" s="190"/>
      <c r="AA52" s="218"/>
      <c r="AB52" s="342">
        <v>92</v>
      </c>
      <c r="AC52" s="342"/>
      <c r="AD52" s="463">
        <v>73.2</v>
      </c>
      <c r="AE52" s="463"/>
      <c r="AF52" s="463">
        <v>95.6</v>
      </c>
      <c r="AG52" s="463"/>
      <c r="AH52" s="461">
        <v>0.95379999999999998</v>
      </c>
      <c r="AI52" s="461"/>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row>
    <row r="53" spans="1:59" ht="48" x14ac:dyDescent="0.25">
      <c r="A53" s="85"/>
      <c r="B53" s="141" t="s">
        <v>254</v>
      </c>
      <c r="C53" s="141"/>
      <c r="D53" s="87"/>
      <c r="E53" s="86"/>
      <c r="F53" s="86"/>
      <c r="G53" s="86"/>
      <c r="H53" s="86"/>
      <c r="I53" s="86"/>
      <c r="J53" s="87" t="s">
        <v>883</v>
      </c>
      <c r="K53" s="87"/>
      <c r="L53" s="87"/>
      <c r="M53" s="86"/>
      <c r="N53" s="86"/>
      <c r="O53" s="86"/>
      <c r="P53" s="86"/>
      <c r="Q53" s="86"/>
      <c r="R53" s="87"/>
      <c r="S53" s="87"/>
      <c r="T53" s="87" t="s">
        <v>935</v>
      </c>
      <c r="U53" s="190"/>
      <c r="V53" s="216"/>
      <c r="W53" s="190"/>
      <c r="X53" s="190"/>
      <c r="Y53" s="217"/>
      <c r="Z53" s="190"/>
      <c r="AA53" s="218"/>
      <c r="AB53" s="703">
        <v>2009</v>
      </c>
      <c r="AC53" s="703"/>
      <c r="AD53" s="703" t="s">
        <v>884</v>
      </c>
      <c r="AE53" s="703"/>
      <c r="AF53" s="72"/>
      <c r="AG53" s="72"/>
      <c r="AH53" s="73"/>
      <c r="AI53" s="73"/>
      <c r="AJ53" s="72"/>
      <c r="AK53" s="74"/>
      <c r="AL53" s="74"/>
      <c r="AM53" s="74"/>
      <c r="AN53" s="57"/>
      <c r="AO53" s="57"/>
      <c r="AP53" s="57"/>
      <c r="AQ53" s="57"/>
      <c r="AR53" s="57"/>
      <c r="AS53" s="57"/>
      <c r="AT53" s="57"/>
      <c r="AU53" s="57"/>
      <c r="AV53" s="57"/>
      <c r="AW53" s="57"/>
      <c r="AX53" s="57"/>
      <c r="AY53" s="57"/>
      <c r="AZ53" s="57"/>
      <c r="BA53" s="57"/>
      <c r="BB53" s="57"/>
      <c r="BC53" s="57"/>
      <c r="BD53" s="57"/>
      <c r="BE53" s="57"/>
      <c r="BF53" s="57"/>
      <c r="BG53" s="57"/>
    </row>
    <row r="54" spans="1:59" ht="15.75" x14ac:dyDescent="0.25">
      <c r="A54" s="85"/>
      <c r="B54" s="252" t="s">
        <v>3</v>
      </c>
      <c r="C54" s="252"/>
      <c r="D54" s="87"/>
      <c r="E54" s="86"/>
      <c r="F54" s="86"/>
      <c r="G54" s="86"/>
      <c r="H54" s="86"/>
      <c r="I54" s="86"/>
      <c r="J54" s="87"/>
      <c r="K54" s="87"/>
      <c r="L54" s="87"/>
      <c r="M54" s="86"/>
      <c r="N54" s="86"/>
      <c r="O54" s="86"/>
      <c r="P54" s="86"/>
      <c r="Q54" s="86"/>
      <c r="R54" s="87"/>
      <c r="S54" s="87"/>
      <c r="T54" s="141" t="s">
        <v>937</v>
      </c>
      <c r="U54" s="190"/>
      <c r="V54" s="216"/>
      <c r="W54" s="190"/>
      <c r="X54" s="190"/>
      <c r="Y54" s="217"/>
      <c r="Z54" s="190"/>
      <c r="AA54" s="218"/>
      <c r="AB54" s="7">
        <v>94</v>
      </c>
      <c r="AC54" s="7"/>
      <c r="AD54" s="467">
        <v>90.5</v>
      </c>
      <c r="AE54" s="467"/>
      <c r="AH54" s="275"/>
      <c r="AI54" s="275"/>
      <c r="AJ54" s="275"/>
      <c r="AK54" s="275"/>
      <c r="AL54" s="57"/>
      <c r="AM54" s="57"/>
      <c r="AN54" s="57"/>
      <c r="AO54" s="57"/>
      <c r="AP54" s="57"/>
      <c r="AQ54" s="57"/>
      <c r="AR54" s="57"/>
      <c r="AS54" s="57"/>
      <c r="AT54" s="57"/>
      <c r="AU54" s="57"/>
      <c r="AV54" s="57"/>
      <c r="AW54" s="57"/>
      <c r="AX54" s="57"/>
      <c r="AY54" s="57"/>
      <c r="AZ54" s="57"/>
      <c r="BA54" s="57"/>
      <c r="BB54" s="57"/>
      <c r="BC54" s="57"/>
      <c r="BD54" s="57"/>
      <c r="BE54" s="57"/>
      <c r="BF54" s="57"/>
      <c r="BG54" s="57"/>
    </row>
    <row r="55" spans="1:59" ht="15.75" x14ac:dyDescent="0.25">
      <c r="A55" s="85"/>
      <c r="B55" s="252" t="s">
        <v>4</v>
      </c>
      <c r="C55" s="252"/>
      <c r="D55" s="87"/>
      <c r="E55" s="86"/>
      <c r="F55" s="86"/>
      <c r="G55" s="86"/>
      <c r="H55" s="86"/>
      <c r="I55" s="86"/>
      <c r="J55" s="87"/>
      <c r="K55" s="87"/>
      <c r="L55" s="87"/>
      <c r="M55" s="86"/>
      <c r="N55" s="86"/>
      <c r="O55" s="86"/>
      <c r="P55" s="86"/>
      <c r="Q55" s="86"/>
      <c r="R55" s="87"/>
      <c r="S55" s="87"/>
      <c r="T55" s="87"/>
      <c r="U55" s="189"/>
      <c r="V55" s="213"/>
      <c r="W55" s="189"/>
      <c r="X55" s="189"/>
      <c r="Y55" s="214"/>
      <c r="Z55" s="189"/>
      <c r="AA55" s="215"/>
      <c r="AB55" s="7">
        <v>75</v>
      </c>
      <c r="AC55" s="7"/>
      <c r="AD55" s="468">
        <v>63.8</v>
      </c>
      <c r="AE55" s="468"/>
      <c r="AH55" s="451"/>
      <c r="AI55" s="451"/>
      <c r="AJ55" s="275"/>
      <c r="AK55" s="275"/>
      <c r="AL55" s="57"/>
      <c r="AM55" s="57"/>
      <c r="AN55" s="57"/>
      <c r="AO55" s="57"/>
      <c r="AP55" s="57"/>
      <c r="AQ55" s="57"/>
      <c r="AR55" s="57"/>
      <c r="AS55" s="57"/>
      <c r="AT55" s="57"/>
      <c r="AU55" s="57"/>
      <c r="AV55" s="57"/>
      <c r="AW55" s="57"/>
      <c r="AX55" s="57"/>
      <c r="AY55" s="57"/>
      <c r="AZ55" s="57"/>
      <c r="BA55" s="57"/>
      <c r="BB55" s="57"/>
      <c r="BC55" s="57"/>
      <c r="BD55" s="57"/>
      <c r="BE55" s="57"/>
      <c r="BF55" s="57"/>
      <c r="BG55" s="57"/>
    </row>
    <row r="56" spans="1:59" ht="15.75" x14ac:dyDescent="0.25">
      <c r="A56" s="85"/>
      <c r="B56" s="252" t="s">
        <v>5</v>
      </c>
      <c r="C56" s="252"/>
      <c r="D56" s="87"/>
      <c r="E56" s="86"/>
      <c r="F56" s="86"/>
      <c r="G56" s="86"/>
      <c r="H56" s="86"/>
      <c r="I56" s="86"/>
      <c r="J56" s="87"/>
      <c r="K56" s="87"/>
      <c r="L56" s="87"/>
      <c r="M56" s="86"/>
      <c r="N56" s="86"/>
      <c r="O56" s="86"/>
      <c r="P56" s="86"/>
      <c r="Q56" s="86"/>
      <c r="R56" s="87"/>
      <c r="S56" s="87"/>
      <c r="T56" s="87"/>
      <c r="U56" s="189"/>
      <c r="V56" s="213"/>
      <c r="W56" s="189"/>
      <c r="X56" s="189"/>
      <c r="Y56" s="214"/>
      <c r="Z56" s="189"/>
      <c r="AA56" s="215"/>
      <c r="AB56" s="7">
        <v>82</v>
      </c>
      <c r="AC56" s="7"/>
      <c r="AD56" s="198">
        <v>86.8</v>
      </c>
      <c r="AE56" s="198"/>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row>
    <row r="57" spans="1:59" ht="15.75" x14ac:dyDescent="0.25">
      <c r="A57" s="85"/>
      <c r="B57" s="252" t="s">
        <v>251</v>
      </c>
      <c r="C57" s="252"/>
      <c r="D57" s="87"/>
      <c r="E57" s="86"/>
      <c r="F57" s="86"/>
      <c r="G57" s="86"/>
      <c r="H57" s="86"/>
      <c r="I57" s="86"/>
      <c r="J57" s="87"/>
      <c r="K57" s="87"/>
      <c r="L57" s="87"/>
      <c r="M57" s="86"/>
      <c r="N57" s="86"/>
      <c r="O57" s="86"/>
      <c r="P57" s="86"/>
      <c r="Q57" s="86"/>
      <c r="R57" s="87"/>
      <c r="S57" s="87"/>
      <c r="T57" s="87"/>
      <c r="U57" s="189"/>
      <c r="V57" s="213"/>
      <c r="W57" s="189"/>
      <c r="X57" s="189"/>
      <c r="Y57" s="214"/>
      <c r="Z57" s="189"/>
      <c r="AA57" s="215"/>
      <c r="AB57" s="4">
        <v>80</v>
      </c>
      <c r="AC57" s="4"/>
      <c r="AD57" s="198">
        <v>90.6</v>
      </c>
      <c r="AE57" s="198"/>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row>
    <row r="58" spans="1:59" ht="15.75" x14ac:dyDescent="0.25">
      <c r="A58" s="85"/>
      <c r="B58" s="252" t="s">
        <v>252</v>
      </c>
      <c r="C58" s="252"/>
      <c r="D58" s="87"/>
      <c r="E58" s="86"/>
      <c r="F58" s="86"/>
      <c r="G58" s="86"/>
      <c r="H58" s="86"/>
      <c r="I58" s="86"/>
      <c r="J58" s="87"/>
      <c r="K58" s="87"/>
      <c r="L58" s="87"/>
      <c r="M58" s="86"/>
      <c r="N58" s="86"/>
      <c r="O58" s="86"/>
      <c r="P58" s="86"/>
      <c r="Q58" s="86"/>
      <c r="R58" s="87"/>
      <c r="S58" s="87"/>
      <c r="T58" s="87"/>
      <c r="U58" s="189"/>
      <c r="V58" s="213"/>
      <c r="W58" s="189"/>
      <c r="X58" s="189"/>
      <c r="Y58" s="214"/>
      <c r="Z58" s="189"/>
      <c r="AA58" s="215"/>
      <c r="AB58" s="4">
        <v>65</v>
      </c>
      <c r="AC58" s="4"/>
      <c r="AD58" s="198">
        <v>78.8</v>
      </c>
      <c r="AE58" s="198"/>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row>
    <row r="59" spans="1:59" ht="16.5" customHeight="1" x14ac:dyDescent="0.25">
      <c r="A59" s="85"/>
      <c r="B59" s="252" t="s">
        <v>6</v>
      </c>
      <c r="C59" s="252"/>
      <c r="D59" s="87"/>
      <c r="E59" s="86"/>
      <c r="F59" s="86"/>
      <c r="G59" s="86"/>
      <c r="H59" s="86"/>
      <c r="I59" s="86"/>
      <c r="J59" s="87"/>
      <c r="K59" s="87"/>
      <c r="L59" s="87"/>
      <c r="M59" s="86"/>
      <c r="N59" s="86"/>
      <c r="O59" s="86"/>
      <c r="P59" s="86"/>
      <c r="Q59" s="86"/>
      <c r="R59" s="87"/>
      <c r="S59" s="87"/>
      <c r="T59" s="87"/>
      <c r="U59" s="189"/>
      <c r="V59" s="213"/>
      <c r="W59" s="189"/>
      <c r="X59" s="189"/>
      <c r="Y59" s="214"/>
      <c r="Z59" s="189"/>
      <c r="AA59" s="215"/>
      <c r="AB59" s="7">
        <v>70</v>
      </c>
      <c r="AC59" s="7"/>
      <c r="AD59" s="489" t="s">
        <v>26</v>
      </c>
      <c r="AE59" s="489"/>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row>
    <row r="60" spans="1:59" ht="15.75" x14ac:dyDescent="0.25">
      <c r="A60" s="85"/>
      <c r="B60" s="252" t="s">
        <v>8</v>
      </c>
      <c r="C60" s="252"/>
      <c r="D60" s="87"/>
      <c r="E60" s="86"/>
      <c r="F60" s="86"/>
      <c r="G60" s="86"/>
      <c r="H60" s="86"/>
      <c r="I60" s="86"/>
      <c r="J60" s="87"/>
      <c r="K60" s="87"/>
      <c r="L60" s="87"/>
      <c r="M60" s="86"/>
      <c r="N60" s="86"/>
      <c r="O60" s="86"/>
      <c r="P60" s="86"/>
      <c r="Q60" s="86"/>
      <c r="R60" s="87"/>
      <c r="S60" s="87"/>
      <c r="T60" s="87"/>
      <c r="U60" s="189"/>
      <c r="V60" s="213"/>
      <c r="W60" s="189"/>
      <c r="X60" s="189"/>
      <c r="Y60" s="214"/>
      <c r="Z60" s="189"/>
      <c r="AA60" s="215"/>
      <c r="AB60" s="466">
        <v>53</v>
      </c>
      <c r="AC60" s="466"/>
      <c r="AD60" s="489" t="s">
        <v>905</v>
      </c>
      <c r="AE60" s="489"/>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row>
    <row r="61" spans="1:59" ht="15.75" x14ac:dyDescent="0.25">
      <c r="A61" s="85"/>
      <c r="B61" s="252" t="s">
        <v>7</v>
      </c>
      <c r="C61" s="252"/>
      <c r="D61" s="87"/>
      <c r="E61" s="86"/>
      <c r="F61" s="86"/>
      <c r="G61" s="86"/>
      <c r="H61" s="86"/>
      <c r="I61" s="86"/>
      <c r="J61" s="87"/>
      <c r="K61" s="87"/>
      <c r="L61" s="87"/>
      <c r="M61" s="86"/>
      <c r="N61" s="86"/>
      <c r="O61" s="86"/>
      <c r="P61" s="86"/>
      <c r="Q61" s="86"/>
      <c r="R61" s="87"/>
      <c r="S61" s="87"/>
      <c r="T61" s="87"/>
      <c r="U61" s="189"/>
      <c r="V61" s="213"/>
      <c r="W61" s="189"/>
      <c r="X61" s="189"/>
      <c r="Y61" s="214"/>
      <c r="Z61" s="189"/>
      <c r="AA61" s="215"/>
      <c r="AB61" s="7">
        <v>54</v>
      </c>
      <c r="AC61" s="7"/>
      <c r="AD61" s="198">
        <v>38</v>
      </c>
      <c r="AE61" s="198"/>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row>
    <row r="62" spans="1:59" ht="15.75" x14ac:dyDescent="0.25">
      <c r="A62" s="85"/>
      <c r="B62" s="252" t="s">
        <v>801</v>
      </c>
      <c r="C62" s="252"/>
      <c r="D62" s="87"/>
      <c r="E62" s="86"/>
      <c r="F62" s="86"/>
      <c r="G62" s="86"/>
      <c r="H62" s="86"/>
      <c r="I62" s="86"/>
      <c r="J62" s="87"/>
      <c r="K62" s="87"/>
      <c r="L62" s="87"/>
      <c r="M62" s="86"/>
      <c r="N62" s="86"/>
      <c r="O62" s="86"/>
      <c r="P62" s="86"/>
      <c r="Q62" s="86"/>
      <c r="R62" s="87"/>
      <c r="S62" s="87"/>
      <c r="T62" s="87"/>
      <c r="U62" s="189"/>
      <c r="V62" s="213"/>
      <c r="W62" s="189"/>
      <c r="X62" s="189"/>
      <c r="Y62" s="214"/>
      <c r="Z62" s="189"/>
      <c r="AA62" s="215"/>
      <c r="AB62" s="4">
        <v>43</v>
      </c>
      <c r="AC62" s="4"/>
      <c r="AD62" s="198">
        <v>78.599999999999994</v>
      </c>
      <c r="AE62" s="198"/>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row>
    <row r="63" spans="1:59" s="412" customFormat="1" ht="36" x14ac:dyDescent="0.25">
      <c r="A63" s="390">
        <v>5</v>
      </c>
      <c r="B63" s="409" t="s">
        <v>130</v>
      </c>
      <c r="C63" s="409"/>
      <c r="D63" s="409" t="s">
        <v>589</v>
      </c>
      <c r="E63" s="409" t="s">
        <v>569</v>
      </c>
      <c r="F63" s="409" t="s">
        <v>570</v>
      </c>
      <c r="G63" s="409" t="s">
        <v>279</v>
      </c>
      <c r="H63" s="409" t="s">
        <v>571</v>
      </c>
      <c r="I63" s="409" t="s">
        <v>570</v>
      </c>
      <c r="J63" s="409" t="s">
        <v>590</v>
      </c>
      <c r="K63" s="409" t="s">
        <v>591</v>
      </c>
      <c r="L63" s="409" t="s">
        <v>574</v>
      </c>
      <c r="M63" s="409" t="s">
        <v>575</v>
      </c>
      <c r="N63" s="409"/>
      <c r="O63" s="409" t="s">
        <v>592</v>
      </c>
      <c r="P63" s="409" t="s">
        <v>593</v>
      </c>
      <c r="Q63" s="409"/>
      <c r="R63" s="409" t="s">
        <v>578</v>
      </c>
      <c r="S63" s="409"/>
      <c r="T63" s="409" t="s">
        <v>937</v>
      </c>
      <c r="U63" s="393" t="s">
        <v>794</v>
      </c>
      <c r="V63" s="394"/>
      <c r="W63" s="393" t="s">
        <v>794</v>
      </c>
      <c r="X63" s="393"/>
      <c r="Y63" s="395"/>
      <c r="Z63" s="393"/>
      <c r="AA63" s="396"/>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c r="BB63" s="410"/>
      <c r="BC63" s="410"/>
      <c r="BD63" s="410"/>
      <c r="BE63" s="410"/>
      <c r="BF63" s="410"/>
      <c r="BG63" s="410"/>
    </row>
    <row r="64" spans="1:59" ht="36" x14ac:dyDescent="0.25">
      <c r="A64" s="85">
        <v>6</v>
      </c>
      <c r="B64" s="130" t="s">
        <v>131</v>
      </c>
      <c r="C64" s="130"/>
      <c r="D64" s="130" t="s">
        <v>594</v>
      </c>
      <c r="E64" s="130" t="s">
        <v>569</v>
      </c>
      <c r="F64" s="130" t="s">
        <v>570</v>
      </c>
      <c r="G64" s="130" t="s">
        <v>306</v>
      </c>
      <c r="H64" s="130" t="s">
        <v>571</v>
      </c>
      <c r="I64" s="130" t="s">
        <v>570</v>
      </c>
      <c r="J64" s="130" t="s">
        <v>595</v>
      </c>
      <c r="K64" s="130" t="s">
        <v>573</v>
      </c>
      <c r="L64" s="130" t="s">
        <v>574</v>
      </c>
      <c r="M64" s="130" t="s">
        <v>575</v>
      </c>
      <c r="N64" s="130"/>
      <c r="O64" s="130" t="s">
        <v>285</v>
      </c>
      <c r="P64" s="130" t="s">
        <v>581</v>
      </c>
      <c r="Q64" s="130"/>
      <c r="R64" s="130" t="s">
        <v>578</v>
      </c>
      <c r="S64" s="130"/>
      <c r="T64" s="141" t="s">
        <v>937</v>
      </c>
      <c r="U64" s="189"/>
      <c r="V64" s="213"/>
      <c r="W64" s="189" t="s">
        <v>794</v>
      </c>
      <c r="X64" s="189"/>
      <c r="Y64" s="214"/>
      <c r="Z64" s="189"/>
      <c r="AA64" s="215"/>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row>
    <row r="65" spans="1:60" ht="92.25" customHeight="1" x14ac:dyDescent="0.25">
      <c r="A65" s="85">
        <v>7</v>
      </c>
      <c r="B65" s="727" t="s">
        <v>132</v>
      </c>
      <c r="C65" s="727"/>
      <c r="D65" s="141" t="s">
        <v>596</v>
      </c>
      <c r="E65" s="141" t="s">
        <v>569</v>
      </c>
      <c r="F65" s="141" t="s">
        <v>597</v>
      </c>
      <c r="G65" s="141" t="s">
        <v>279</v>
      </c>
      <c r="H65" s="141" t="s">
        <v>571</v>
      </c>
      <c r="I65" s="141" t="s">
        <v>597</v>
      </c>
      <c r="J65" s="141" t="s">
        <v>885</v>
      </c>
      <c r="K65" s="141" t="s">
        <v>901</v>
      </c>
      <c r="L65" s="141" t="s">
        <v>350</v>
      </c>
      <c r="M65" s="141" t="s">
        <v>350</v>
      </c>
      <c r="N65" s="141"/>
      <c r="O65" s="141" t="s">
        <v>285</v>
      </c>
      <c r="P65" s="141" t="s">
        <v>581</v>
      </c>
      <c r="Q65" s="141"/>
      <c r="R65" s="141" t="s">
        <v>578</v>
      </c>
      <c r="S65" s="141"/>
      <c r="T65" s="460" t="s">
        <v>936</v>
      </c>
      <c r="U65" s="189" t="s">
        <v>794</v>
      </c>
      <c r="V65" s="213" t="s">
        <v>794</v>
      </c>
      <c r="W65" s="189"/>
      <c r="X65" s="189"/>
      <c r="Y65" s="214"/>
      <c r="Z65" s="189"/>
      <c r="AA65" s="215"/>
      <c r="AB65" s="824" t="s">
        <v>819</v>
      </c>
      <c r="AC65" s="824"/>
      <c r="AD65" s="824"/>
      <c r="AE65" s="824"/>
      <c r="AF65" s="824"/>
      <c r="AG65" s="768"/>
      <c r="AH65" s="823" t="s">
        <v>820</v>
      </c>
      <c r="AI65" s="824"/>
      <c r="AJ65" s="824"/>
      <c r="AK65" s="824"/>
      <c r="AL65" s="825"/>
      <c r="AM65" s="768"/>
      <c r="AN65" s="824" t="s">
        <v>821</v>
      </c>
      <c r="AO65" s="824"/>
      <c r="AP65" s="824"/>
      <c r="AQ65" s="823" t="s">
        <v>822</v>
      </c>
      <c r="AR65" s="824"/>
      <c r="AS65" s="825"/>
      <c r="AT65" s="827" t="s">
        <v>830</v>
      </c>
      <c r="AU65" s="827"/>
      <c r="AV65" s="828"/>
      <c r="AW65" s="827" t="s">
        <v>831</v>
      </c>
      <c r="AX65" s="827"/>
      <c r="AY65" s="828"/>
      <c r="AZ65" s="824" t="s">
        <v>823</v>
      </c>
      <c r="BA65" s="824"/>
      <c r="BB65" s="825"/>
      <c r="BC65" s="845"/>
      <c r="BD65" s="845"/>
      <c r="BE65" s="845"/>
      <c r="BF65" s="845"/>
      <c r="BG65" s="845"/>
      <c r="BH65" s="845"/>
    </row>
    <row r="66" spans="1:60" ht="15.75" x14ac:dyDescent="0.25">
      <c r="A66" s="85"/>
      <c r="D66" s="141"/>
      <c r="E66" s="141"/>
      <c r="F66" s="141"/>
      <c r="G66" s="141"/>
      <c r="H66" s="141"/>
      <c r="I66" s="141"/>
      <c r="J66" s="141"/>
      <c r="K66" s="141"/>
      <c r="L66" s="141"/>
      <c r="M66" s="141"/>
      <c r="N66" s="141"/>
      <c r="O66" s="141"/>
      <c r="P66" s="141"/>
      <c r="Q66" s="141"/>
      <c r="R66" s="141"/>
      <c r="S66" s="141"/>
      <c r="T66" s="141"/>
      <c r="U66" s="189"/>
      <c r="V66" s="213"/>
      <c r="W66" s="189"/>
      <c r="X66" s="189"/>
      <c r="Y66" s="214"/>
      <c r="Z66" s="189"/>
      <c r="AA66" s="215"/>
      <c r="AB66" s="704">
        <v>2004</v>
      </c>
      <c r="AC66" s="704"/>
      <c r="AD66" s="704">
        <v>2007</v>
      </c>
      <c r="AE66" s="704"/>
      <c r="AF66" s="705">
        <v>2011</v>
      </c>
      <c r="AG66" s="704"/>
      <c r="AH66" s="704">
        <v>2004</v>
      </c>
      <c r="AI66" s="704"/>
      <c r="AJ66" s="704">
        <v>2007</v>
      </c>
      <c r="AK66" s="704"/>
      <c r="AL66" s="705">
        <v>2011</v>
      </c>
      <c r="AM66" s="704"/>
      <c r="AN66" s="704">
        <v>2004</v>
      </c>
      <c r="AO66" s="704">
        <v>2007</v>
      </c>
      <c r="AP66" s="705">
        <v>2011</v>
      </c>
      <c r="AQ66" s="704">
        <v>2004</v>
      </c>
      <c r="AR66" s="704">
        <v>2007</v>
      </c>
      <c r="AS66" s="705">
        <v>2011</v>
      </c>
      <c r="AT66" s="704">
        <v>2004</v>
      </c>
      <c r="AU66" s="704">
        <v>2007</v>
      </c>
      <c r="AV66" s="705">
        <v>2011</v>
      </c>
      <c r="AW66" s="704">
        <v>2004</v>
      </c>
      <c r="AX66" s="704">
        <v>2007</v>
      </c>
      <c r="AY66" s="705">
        <v>2011</v>
      </c>
      <c r="AZ66" s="704">
        <v>2004</v>
      </c>
      <c r="BA66" s="704">
        <v>2007</v>
      </c>
      <c r="BB66" s="705">
        <v>2011</v>
      </c>
      <c r="BC66" s="344"/>
      <c r="BD66" s="344"/>
      <c r="BE66" s="344"/>
      <c r="BF66" s="344"/>
      <c r="BG66" s="344"/>
      <c r="BH66" s="344"/>
    </row>
    <row r="67" spans="1:60" ht="15.75" x14ac:dyDescent="0.25">
      <c r="A67" s="85"/>
      <c r="B67" s="252" t="s">
        <v>3</v>
      </c>
      <c r="C67" s="252"/>
      <c r="D67" s="141"/>
      <c r="E67" s="141"/>
      <c r="F67" s="141"/>
      <c r="G67" s="141"/>
      <c r="H67" s="141"/>
      <c r="I67" s="141"/>
      <c r="J67" s="141"/>
      <c r="K67" s="141"/>
      <c r="L67" s="141"/>
      <c r="M67" s="141"/>
      <c r="N67" s="141"/>
      <c r="O67" s="141"/>
      <c r="P67" s="141"/>
      <c r="Q67" s="141"/>
      <c r="R67" s="141"/>
      <c r="S67" s="141"/>
      <c r="T67" s="141"/>
      <c r="U67" s="189"/>
      <c r="V67" s="213"/>
      <c r="W67" s="189"/>
      <c r="X67" s="189"/>
      <c r="Y67" s="214"/>
      <c r="Z67" s="189"/>
      <c r="AA67" s="215"/>
      <c r="AB67" s="347">
        <v>54828474</v>
      </c>
      <c r="AC67" s="347"/>
      <c r="AD67" s="347">
        <v>54608582</v>
      </c>
      <c r="AE67" s="347"/>
      <c r="AF67" s="348">
        <v>59543254</v>
      </c>
      <c r="AG67" s="349"/>
      <c r="AH67" s="349">
        <v>21060701</v>
      </c>
      <c r="AI67" s="347"/>
      <c r="AJ67" s="347">
        <v>29815847</v>
      </c>
      <c r="AK67" s="347"/>
      <c r="AL67" s="348">
        <v>25986627</v>
      </c>
      <c r="AM67" s="347"/>
      <c r="AN67" s="347">
        <v>8525000</v>
      </c>
      <c r="AO67" s="347">
        <v>4140720</v>
      </c>
      <c r="AP67" s="348">
        <v>4972696</v>
      </c>
      <c r="AQ67" s="347">
        <v>1056383</v>
      </c>
      <c r="AR67" s="347">
        <v>1498703</v>
      </c>
      <c r="AS67" s="348">
        <v>245124</v>
      </c>
      <c r="AT67" s="347">
        <v>236655</v>
      </c>
      <c r="AU67" s="347">
        <v>14160</v>
      </c>
      <c r="AV67" s="350">
        <v>145690</v>
      </c>
      <c r="AW67" s="347">
        <v>121124</v>
      </c>
      <c r="AX67" s="347">
        <v>40430</v>
      </c>
      <c r="AY67" s="350">
        <v>218215</v>
      </c>
      <c r="AZ67" s="347">
        <v>2249981</v>
      </c>
      <c r="BA67" s="252" t="s">
        <v>26</v>
      </c>
      <c r="BB67" s="350">
        <v>25769788</v>
      </c>
      <c r="BC67" s="344"/>
      <c r="BD67" s="344"/>
      <c r="BE67" s="344"/>
      <c r="BF67" s="344"/>
      <c r="BG67" s="344"/>
      <c r="BH67" s="344"/>
    </row>
    <row r="68" spans="1:60" s="469" customFormat="1" ht="15.75" x14ac:dyDescent="0.25">
      <c r="A68" s="444"/>
      <c r="B68" s="494" t="s">
        <v>4</v>
      </c>
      <c r="C68" s="494"/>
      <c r="D68" s="141"/>
      <c r="E68" s="141"/>
      <c r="F68" s="141"/>
      <c r="G68" s="141"/>
      <c r="H68" s="141"/>
      <c r="I68" s="141"/>
      <c r="J68" s="141"/>
      <c r="K68" s="141"/>
      <c r="L68" s="141"/>
      <c r="M68" s="141"/>
      <c r="N68" s="141"/>
      <c r="O68" s="141"/>
      <c r="P68" s="141"/>
      <c r="Q68" s="141"/>
      <c r="R68" s="141"/>
      <c r="S68" s="141"/>
      <c r="T68" s="141"/>
      <c r="U68" s="189"/>
      <c r="V68" s="213"/>
      <c r="W68" s="189"/>
      <c r="X68" s="189"/>
      <c r="Y68" s="214"/>
      <c r="Z68" s="189"/>
      <c r="AA68" s="215"/>
      <c r="AB68" s="740">
        <v>34377785</v>
      </c>
      <c r="AC68" s="740"/>
      <c r="AD68" s="740">
        <v>30923181</v>
      </c>
      <c r="AE68" s="740"/>
      <c r="AF68" s="741">
        <v>24075326</v>
      </c>
      <c r="AG68" s="740"/>
      <c r="AH68" s="740">
        <v>12329816</v>
      </c>
      <c r="AI68" s="740"/>
      <c r="AJ68" s="740">
        <v>20580435</v>
      </c>
      <c r="AK68" s="740"/>
      <c r="AL68" s="741">
        <v>18810915</v>
      </c>
      <c r="AM68" s="740"/>
      <c r="AN68" s="740">
        <v>12507353</v>
      </c>
      <c r="AO68" s="740">
        <v>9432385</v>
      </c>
      <c r="AP68" s="741">
        <v>2991654</v>
      </c>
      <c r="AQ68" s="740">
        <v>1508879</v>
      </c>
      <c r="AR68" s="740">
        <v>745096</v>
      </c>
      <c r="AS68" s="741">
        <v>247874</v>
      </c>
      <c r="AT68" s="740">
        <v>256489</v>
      </c>
      <c r="AU68" s="740">
        <v>51450</v>
      </c>
      <c r="AV68" s="741">
        <v>99282</v>
      </c>
      <c r="AW68" s="740">
        <v>2509554</v>
      </c>
      <c r="AX68" s="740">
        <v>283302</v>
      </c>
      <c r="AY68" s="741">
        <v>144740</v>
      </c>
      <c r="AZ68" s="740">
        <v>107239</v>
      </c>
      <c r="BA68" s="494" t="s">
        <v>26</v>
      </c>
      <c r="BB68" s="741">
        <v>128029</v>
      </c>
      <c r="BC68" s="365"/>
      <c r="BD68" s="365"/>
      <c r="BE68" s="365"/>
      <c r="BF68" s="365"/>
      <c r="BG68" s="365"/>
      <c r="BH68" s="365"/>
    </row>
    <row r="69" spans="1:60" s="469" customFormat="1" ht="15" customHeight="1" x14ac:dyDescent="0.25">
      <c r="A69" s="444"/>
      <c r="B69" s="494" t="s">
        <v>5</v>
      </c>
      <c r="C69" s="494"/>
      <c r="D69" s="141"/>
      <c r="E69" s="141"/>
      <c r="F69" s="141"/>
      <c r="G69" s="141"/>
      <c r="H69" s="141"/>
      <c r="I69" s="141"/>
      <c r="J69" s="141"/>
      <c r="K69" s="141"/>
      <c r="L69" s="141"/>
      <c r="M69" s="141"/>
      <c r="N69" s="141"/>
      <c r="O69" s="141"/>
      <c r="P69" s="141"/>
      <c r="Q69" s="141"/>
      <c r="R69" s="141"/>
      <c r="S69" s="141"/>
      <c r="T69" s="141"/>
      <c r="U69" s="189"/>
      <c r="V69" s="213"/>
      <c r="W69" s="189"/>
      <c r="X69" s="189"/>
      <c r="Y69" s="214"/>
      <c r="Z69" s="189"/>
      <c r="AA69" s="215"/>
      <c r="AB69" s="740">
        <v>41161231</v>
      </c>
      <c r="AC69" s="740"/>
      <c r="AD69" s="740">
        <v>39392695</v>
      </c>
      <c r="AE69" s="740"/>
      <c r="AF69" s="741">
        <v>49032887</v>
      </c>
      <c r="AG69" s="740"/>
      <c r="AH69" s="740">
        <v>22447842</v>
      </c>
      <c r="AI69" s="740"/>
      <c r="AJ69" s="740">
        <v>27874053</v>
      </c>
      <c r="AK69" s="740"/>
      <c r="AL69" s="741">
        <v>34951932</v>
      </c>
      <c r="AM69" s="740"/>
      <c r="AN69" s="740">
        <v>5037500</v>
      </c>
      <c r="AO69" s="740">
        <v>3055992</v>
      </c>
      <c r="AP69" s="741">
        <v>4082400</v>
      </c>
      <c r="AQ69" s="740">
        <v>2439917</v>
      </c>
      <c r="AR69" s="740">
        <v>2830399</v>
      </c>
      <c r="AS69" s="741">
        <v>2166212</v>
      </c>
      <c r="AT69" s="740">
        <v>2608792</v>
      </c>
      <c r="AU69" s="740">
        <v>1750168</v>
      </c>
      <c r="AV69" s="741">
        <v>2435083</v>
      </c>
      <c r="AW69" s="740">
        <v>3942250</v>
      </c>
      <c r="AX69" s="740">
        <v>4116144</v>
      </c>
      <c r="AY69" s="741">
        <v>1633921</v>
      </c>
      <c r="AZ69" s="740">
        <v>14114892</v>
      </c>
      <c r="BA69" s="494" t="s">
        <v>26</v>
      </c>
      <c r="BB69" s="741">
        <v>10093060</v>
      </c>
      <c r="BC69" s="365"/>
      <c r="BD69" s="365"/>
      <c r="BE69" s="365"/>
      <c r="BF69" s="365"/>
      <c r="BG69" s="365"/>
      <c r="BH69" s="365"/>
    </row>
    <row r="70" spans="1:60" ht="15.75" x14ac:dyDescent="0.25">
      <c r="A70" s="85"/>
      <c r="B70" s="252" t="s">
        <v>251</v>
      </c>
      <c r="C70" s="252"/>
      <c r="D70" s="141"/>
      <c r="E70" s="141"/>
      <c r="F70" s="141"/>
      <c r="G70" s="141"/>
      <c r="H70" s="141"/>
      <c r="I70" s="141"/>
      <c r="J70" s="141"/>
      <c r="K70" s="141"/>
      <c r="L70" s="141"/>
      <c r="M70" s="141"/>
      <c r="N70" s="141"/>
      <c r="O70" s="141"/>
      <c r="P70" s="141"/>
      <c r="Q70" s="141"/>
      <c r="R70" s="141"/>
      <c r="S70" s="141"/>
      <c r="T70" s="141"/>
      <c r="U70" s="189"/>
      <c r="V70" s="213"/>
      <c r="W70" s="189"/>
      <c r="X70" s="189"/>
      <c r="Y70" s="214"/>
      <c r="Z70" s="189"/>
      <c r="AA70" s="215"/>
      <c r="AB70" s="347">
        <v>30452115</v>
      </c>
      <c r="AC70" s="347"/>
      <c r="AD70" s="347">
        <v>31739142</v>
      </c>
      <c r="AE70" s="347"/>
      <c r="AF70" s="350">
        <v>36693193</v>
      </c>
      <c r="AG70" s="347"/>
      <c r="AH70" s="347">
        <v>30799214</v>
      </c>
      <c r="AI70" s="347"/>
      <c r="AJ70" s="347">
        <v>42052292</v>
      </c>
      <c r="AK70" s="347"/>
      <c r="AL70" s="350">
        <v>46297291</v>
      </c>
      <c r="AM70" s="347"/>
      <c r="AN70" s="347">
        <v>37200</v>
      </c>
      <c r="AO70" s="347">
        <v>58320</v>
      </c>
      <c r="AP70" s="350">
        <v>15649508</v>
      </c>
      <c r="AQ70" s="347">
        <v>4517874</v>
      </c>
      <c r="AR70" s="347">
        <v>3134336</v>
      </c>
      <c r="AS70" s="350">
        <v>4419178</v>
      </c>
      <c r="AT70" s="347">
        <v>2045980</v>
      </c>
      <c r="AU70" s="347">
        <v>3728055</v>
      </c>
      <c r="AV70" s="350">
        <v>6066539</v>
      </c>
      <c r="AW70" s="347">
        <v>5660327</v>
      </c>
      <c r="AX70" s="347">
        <v>3664306</v>
      </c>
      <c r="AY70" s="350">
        <v>1971092</v>
      </c>
      <c r="AZ70" s="347">
        <v>2764492</v>
      </c>
      <c r="BA70" s="252" t="s">
        <v>26</v>
      </c>
      <c r="BB70" s="350">
        <v>1617462</v>
      </c>
      <c r="BC70" s="344"/>
      <c r="BD70" s="344"/>
      <c r="BE70" s="344"/>
      <c r="BF70" s="344"/>
      <c r="BG70" s="344"/>
      <c r="BH70" s="344"/>
    </row>
    <row r="71" spans="1:60" ht="15.75" customHeight="1" x14ac:dyDescent="0.25">
      <c r="A71" s="85"/>
      <c r="B71" s="252" t="s">
        <v>252</v>
      </c>
      <c r="C71" s="252"/>
      <c r="D71" s="141"/>
      <c r="E71" s="141"/>
      <c r="F71" s="141"/>
      <c r="G71" s="141"/>
      <c r="H71" s="141"/>
      <c r="I71" s="141"/>
      <c r="J71" s="141"/>
      <c r="K71" s="141"/>
      <c r="L71" s="141"/>
      <c r="M71" s="141"/>
      <c r="N71" s="141"/>
      <c r="O71" s="141"/>
      <c r="P71" s="141"/>
      <c r="Q71" s="141"/>
      <c r="R71" s="141"/>
      <c r="S71" s="141"/>
      <c r="T71" s="141"/>
      <c r="U71" s="189"/>
      <c r="V71" s="213"/>
      <c r="W71" s="189"/>
      <c r="X71" s="189"/>
      <c r="Y71" s="214"/>
      <c r="Z71" s="189"/>
      <c r="AA71" s="215"/>
      <c r="AB71" s="347">
        <v>2166212</v>
      </c>
      <c r="AC71" s="347"/>
      <c r="AD71" s="347">
        <v>26324768</v>
      </c>
      <c r="AE71" s="347"/>
      <c r="AF71" s="350">
        <v>33621319</v>
      </c>
      <c r="AG71" s="347"/>
      <c r="AH71" s="347">
        <v>20487317</v>
      </c>
      <c r="AI71" s="347"/>
      <c r="AJ71" s="347">
        <v>19367156</v>
      </c>
      <c r="AK71" s="347"/>
      <c r="AL71" s="350">
        <v>26012974</v>
      </c>
      <c r="AM71" s="347"/>
      <c r="AN71" s="347">
        <v>4629633</v>
      </c>
      <c r="AO71" s="347">
        <v>6117440</v>
      </c>
      <c r="AP71" s="350">
        <v>2238037</v>
      </c>
      <c r="AQ71" s="347">
        <v>2347762</v>
      </c>
      <c r="AR71" s="347">
        <v>608622</v>
      </c>
      <c r="AS71" s="350">
        <v>1289219</v>
      </c>
      <c r="AT71" s="347">
        <v>857083</v>
      </c>
      <c r="AU71" s="347">
        <v>233306</v>
      </c>
      <c r="AV71" s="350">
        <v>506537</v>
      </c>
      <c r="AW71" s="347">
        <v>1079679</v>
      </c>
      <c r="AX71" s="347">
        <v>1225699</v>
      </c>
      <c r="AY71" s="350">
        <v>540083</v>
      </c>
      <c r="AZ71" s="347">
        <v>51490556</v>
      </c>
      <c r="BA71" s="252" t="s">
        <v>26</v>
      </c>
      <c r="BB71" s="350">
        <v>22933505</v>
      </c>
      <c r="BC71" s="344"/>
      <c r="BD71" s="344"/>
      <c r="BE71" s="344"/>
      <c r="BF71" s="344"/>
      <c r="BG71" s="344"/>
      <c r="BH71" s="344"/>
    </row>
    <row r="72" spans="1:60" ht="16.5" customHeight="1" x14ac:dyDescent="0.25">
      <c r="A72" s="85"/>
      <c r="B72" s="252" t="s">
        <v>6</v>
      </c>
      <c r="C72" s="252"/>
      <c r="D72" s="141"/>
      <c r="E72" s="141"/>
      <c r="F72" s="141"/>
      <c r="G72" s="141"/>
      <c r="H72" s="141"/>
      <c r="I72" s="141"/>
      <c r="J72" s="141"/>
      <c r="K72" s="141"/>
      <c r="L72" s="141"/>
      <c r="M72" s="141"/>
      <c r="N72" s="141"/>
      <c r="O72" s="141"/>
      <c r="P72" s="141"/>
      <c r="Q72" s="141"/>
      <c r="R72" s="141"/>
      <c r="S72" s="141"/>
      <c r="T72" s="141"/>
      <c r="U72" s="189"/>
      <c r="V72" s="213"/>
      <c r="W72" s="189"/>
      <c r="X72" s="189"/>
      <c r="Y72" s="214"/>
      <c r="Z72" s="189"/>
      <c r="AA72" s="215"/>
      <c r="AB72" s="355">
        <v>8295106</v>
      </c>
      <c r="AC72" s="355"/>
      <c r="AD72" s="355">
        <v>9648975</v>
      </c>
      <c r="AE72" s="355"/>
      <c r="AF72" s="49">
        <v>7227901</v>
      </c>
      <c r="AG72" s="6"/>
      <c r="AH72" s="355">
        <v>7084454</v>
      </c>
      <c r="AI72" s="355"/>
      <c r="AJ72" s="355">
        <v>9167559</v>
      </c>
      <c r="AK72" s="355"/>
      <c r="AL72" s="49">
        <v>8168327</v>
      </c>
      <c r="AM72" s="6"/>
      <c r="AN72" s="355">
        <v>821500</v>
      </c>
      <c r="AO72" s="355">
        <v>626940</v>
      </c>
      <c r="AP72" s="49">
        <v>629389</v>
      </c>
      <c r="AQ72" s="347">
        <v>832672</v>
      </c>
      <c r="AR72" s="347">
        <v>457560</v>
      </c>
      <c r="AS72" s="350">
        <v>393452</v>
      </c>
      <c r="AT72" s="347">
        <v>278454</v>
      </c>
      <c r="AU72" s="347">
        <v>156927</v>
      </c>
      <c r="AV72" s="350">
        <v>29707</v>
      </c>
      <c r="AW72" s="347">
        <v>475274</v>
      </c>
      <c r="AX72" s="347">
        <v>999570</v>
      </c>
      <c r="AY72" s="350">
        <v>699685</v>
      </c>
      <c r="AZ72" s="347">
        <v>2978871</v>
      </c>
      <c r="BA72" s="252" t="s">
        <v>26</v>
      </c>
      <c r="BB72" s="350">
        <v>17</v>
      </c>
      <c r="BC72" s="344"/>
      <c r="BD72" s="344"/>
      <c r="BE72" s="344"/>
      <c r="BF72" s="344"/>
      <c r="BG72" s="344"/>
      <c r="BH72" s="344"/>
    </row>
    <row r="73" spans="1:60" s="469" customFormat="1" ht="15.75" x14ac:dyDescent="0.25">
      <c r="A73" s="444"/>
      <c r="B73" s="494" t="s">
        <v>8</v>
      </c>
      <c r="C73" s="494"/>
      <c r="D73" s="141"/>
      <c r="E73" s="141"/>
      <c r="F73" s="141"/>
      <c r="G73" s="141"/>
      <c r="H73" s="141"/>
      <c r="I73" s="141"/>
      <c r="J73" s="141"/>
      <c r="K73" s="141"/>
      <c r="L73" s="141"/>
      <c r="M73" s="141"/>
      <c r="N73" s="141"/>
      <c r="O73" s="141"/>
      <c r="P73" s="141"/>
      <c r="Q73" s="141"/>
      <c r="R73" s="141"/>
      <c r="S73" s="141"/>
      <c r="T73" s="141"/>
      <c r="U73" s="189"/>
      <c r="V73" s="213"/>
      <c r="W73" s="189"/>
      <c r="X73" s="189"/>
      <c r="Y73" s="214"/>
      <c r="Z73" s="189"/>
      <c r="AA73" s="215"/>
      <c r="AB73" s="740">
        <v>5230558</v>
      </c>
      <c r="AC73" s="740"/>
      <c r="AD73" s="740">
        <v>6916710</v>
      </c>
      <c r="AE73" s="740"/>
      <c r="AF73" s="741">
        <v>6837861</v>
      </c>
      <c r="AG73" s="740"/>
      <c r="AH73" s="740">
        <v>3710560</v>
      </c>
      <c r="AI73" s="740"/>
      <c r="AJ73" s="740">
        <v>5526508</v>
      </c>
      <c r="AK73" s="740"/>
      <c r="AL73" s="741">
        <v>5596749</v>
      </c>
      <c r="AM73" s="740"/>
      <c r="AN73" s="740">
        <v>2170000</v>
      </c>
      <c r="AO73" s="740">
        <v>1686804</v>
      </c>
      <c r="AP73" s="741">
        <v>1679502</v>
      </c>
      <c r="AQ73" s="740">
        <v>1350770</v>
      </c>
      <c r="AR73" s="740">
        <v>2064721</v>
      </c>
      <c r="AS73" s="741">
        <v>1719711</v>
      </c>
      <c r="AT73" s="740">
        <v>299620</v>
      </c>
      <c r="AU73" s="740">
        <v>28524</v>
      </c>
      <c r="AV73" s="741">
        <v>189557</v>
      </c>
      <c r="AW73" s="740">
        <v>537214</v>
      </c>
      <c r="AX73" s="740">
        <v>378228</v>
      </c>
      <c r="AY73" s="741">
        <v>123875</v>
      </c>
      <c r="AZ73" s="740">
        <v>440661</v>
      </c>
      <c r="BA73" s="494" t="s">
        <v>26</v>
      </c>
      <c r="BB73" s="741">
        <v>554768</v>
      </c>
      <c r="BC73" s="365"/>
      <c r="BD73" s="365"/>
      <c r="BE73" s="365"/>
      <c r="BF73" s="365"/>
      <c r="BG73" s="365"/>
      <c r="BH73" s="365"/>
    </row>
    <row r="74" spans="1:60" s="469" customFormat="1" ht="15.75" customHeight="1" x14ac:dyDescent="0.25">
      <c r="A74" s="444"/>
      <c r="B74" s="494" t="s">
        <v>7</v>
      </c>
      <c r="C74" s="494"/>
      <c r="D74" s="141"/>
      <c r="E74" s="141"/>
      <c r="F74" s="141"/>
      <c r="G74" s="141"/>
      <c r="H74" s="141"/>
      <c r="I74" s="141"/>
      <c r="J74" s="141"/>
      <c r="K74" s="141"/>
      <c r="L74" s="141"/>
      <c r="M74" s="141"/>
      <c r="N74" s="141"/>
      <c r="O74" s="141"/>
      <c r="P74" s="141"/>
      <c r="Q74" s="141"/>
      <c r="R74" s="141"/>
      <c r="S74" s="141"/>
      <c r="T74" s="141"/>
      <c r="U74" s="189"/>
      <c r="V74" s="213"/>
      <c r="W74" s="189"/>
      <c r="X74" s="189"/>
      <c r="Y74" s="214"/>
      <c r="Z74" s="189"/>
      <c r="AA74" s="215"/>
      <c r="AB74" s="740">
        <v>6110847</v>
      </c>
      <c r="AC74" s="740"/>
      <c r="AD74" s="494" t="s">
        <v>26</v>
      </c>
      <c r="AE74" s="494"/>
      <c r="AF74" s="741">
        <v>4644950</v>
      </c>
      <c r="AG74" s="740"/>
      <c r="AH74" s="740">
        <v>5919478</v>
      </c>
      <c r="AI74" s="740"/>
      <c r="AJ74" s="494" t="s">
        <v>26</v>
      </c>
      <c r="AK74" s="494"/>
      <c r="AL74" s="741">
        <v>4563022</v>
      </c>
      <c r="AM74" s="740"/>
      <c r="AN74" s="740">
        <v>248000</v>
      </c>
      <c r="AO74" s="494" t="s">
        <v>26</v>
      </c>
      <c r="AP74" s="741">
        <v>124612</v>
      </c>
      <c r="AQ74" s="740">
        <v>364472</v>
      </c>
      <c r="AR74" s="494" t="s">
        <v>26</v>
      </c>
      <c r="AS74" s="741">
        <v>204382</v>
      </c>
      <c r="AT74" s="740">
        <v>197257</v>
      </c>
      <c r="AU74" s="494" t="s">
        <v>26</v>
      </c>
      <c r="AV74" s="741">
        <v>53786</v>
      </c>
      <c r="AW74" s="740">
        <v>47645</v>
      </c>
      <c r="AX74" s="494" t="s">
        <v>26</v>
      </c>
      <c r="AY74" s="670">
        <v>0</v>
      </c>
      <c r="AZ74" s="740">
        <v>217062</v>
      </c>
      <c r="BA74" s="494" t="s">
        <v>26</v>
      </c>
      <c r="BB74" s="741">
        <v>198112</v>
      </c>
      <c r="BC74" s="365"/>
      <c r="BD74" s="365"/>
      <c r="BE74" s="365"/>
      <c r="BF74" s="365"/>
      <c r="BG74" s="365"/>
      <c r="BH74" s="365"/>
    </row>
    <row r="75" spans="1:60" ht="15.75" x14ac:dyDescent="0.25">
      <c r="A75" s="85"/>
      <c r="B75" s="252" t="s">
        <v>800</v>
      </c>
      <c r="C75" s="252"/>
      <c r="D75" s="141"/>
      <c r="E75" s="141"/>
      <c r="F75" s="141"/>
      <c r="G75" s="141"/>
      <c r="H75" s="141"/>
      <c r="I75" s="141"/>
      <c r="J75" s="141"/>
      <c r="K75" s="141"/>
      <c r="L75" s="141"/>
      <c r="M75" s="141"/>
      <c r="N75" s="141"/>
      <c r="O75" s="141"/>
      <c r="P75" s="141"/>
      <c r="Q75" s="141"/>
      <c r="R75" s="141"/>
      <c r="S75" s="141"/>
      <c r="T75" s="141"/>
      <c r="U75" s="189"/>
      <c r="V75" s="213"/>
      <c r="W75" s="189"/>
      <c r="X75" s="189"/>
      <c r="Y75" s="214"/>
      <c r="Z75" s="189"/>
      <c r="AA75" s="215"/>
      <c r="AB75" s="351"/>
      <c r="AC75" s="351"/>
      <c r="AD75" s="351"/>
      <c r="AE75" s="351"/>
      <c r="AF75" s="352"/>
      <c r="AG75" s="351"/>
      <c r="AH75" s="353"/>
      <c r="AI75" s="353"/>
      <c r="AJ75" s="353"/>
      <c r="AK75" s="353"/>
      <c r="AL75" s="354"/>
      <c r="AM75" s="353"/>
      <c r="AN75" s="351"/>
      <c r="AO75" s="351"/>
      <c r="AP75" s="352"/>
      <c r="AQ75" s="353"/>
      <c r="AR75" s="353"/>
      <c r="AS75" s="354"/>
      <c r="AT75" s="353"/>
      <c r="AU75" s="353"/>
      <c r="AV75" s="354"/>
      <c r="AW75" s="353"/>
      <c r="AX75" s="353"/>
      <c r="AY75" s="354"/>
      <c r="AZ75" s="353"/>
      <c r="BA75" s="353"/>
      <c r="BB75" s="354"/>
      <c r="BC75" s="344"/>
      <c r="BD75" s="344"/>
      <c r="BE75" s="344"/>
      <c r="BF75" s="344"/>
      <c r="BG75" s="344"/>
      <c r="BH75" s="344"/>
    </row>
    <row r="76" spans="1:60" ht="72" x14ac:dyDescent="0.25">
      <c r="A76" s="85">
        <v>8</v>
      </c>
      <c r="B76" s="130" t="s">
        <v>133</v>
      </c>
      <c r="C76" s="130"/>
      <c r="D76" s="130" t="s">
        <v>598</v>
      </c>
      <c r="E76" s="130" t="s">
        <v>569</v>
      </c>
      <c r="F76" s="130" t="s">
        <v>597</v>
      </c>
      <c r="G76" s="130" t="s">
        <v>279</v>
      </c>
      <c r="H76" s="130" t="s">
        <v>571</v>
      </c>
      <c r="I76" s="130" t="s">
        <v>597</v>
      </c>
      <c r="J76" s="130" t="s">
        <v>599</v>
      </c>
      <c r="K76" s="130" t="s">
        <v>901</v>
      </c>
      <c r="L76" s="130" t="s">
        <v>350</v>
      </c>
      <c r="M76" s="130" t="s">
        <v>350</v>
      </c>
      <c r="N76" s="130"/>
      <c r="O76" s="130" t="s">
        <v>285</v>
      </c>
      <c r="P76" s="130" t="s">
        <v>581</v>
      </c>
      <c r="Q76" s="130"/>
      <c r="R76" s="130" t="s">
        <v>578</v>
      </c>
      <c r="S76" s="130"/>
      <c r="T76" s="130" t="s">
        <v>938</v>
      </c>
      <c r="U76" s="189"/>
      <c r="V76" s="213"/>
      <c r="W76" s="189" t="s">
        <v>794</v>
      </c>
      <c r="X76" s="189"/>
      <c r="Y76" s="214"/>
      <c r="Z76" s="189"/>
      <c r="AA76" s="215"/>
      <c r="AB76" s="346"/>
      <c r="AC76" s="346"/>
      <c r="AD76" s="344"/>
      <c r="AE76" s="344"/>
      <c r="AF76" s="345"/>
      <c r="AG76" s="344"/>
      <c r="AH76" s="344"/>
      <c r="AI76" s="344"/>
      <c r="AJ76" s="344"/>
      <c r="AK76" s="344"/>
      <c r="AL76" s="58"/>
      <c r="AM76" s="57"/>
      <c r="AN76" s="57"/>
      <c r="AO76" s="57"/>
      <c r="AP76" s="58"/>
      <c r="AQ76" s="57"/>
      <c r="AR76" s="57"/>
      <c r="AS76" s="58"/>
      <c r="AT76" s="57"/>
      <c r="AU76" s="57"/>
      <c r="AV76" s="58"/>
      <c r="AW76" s="57"/>
      <c r="AX76" s="57"/>
      <c r="AY76" s="58"/>
      <c r="AZ76" s="57"/>
      <c r="BA76" s="57"/>
      <c r="BB76" s="58"/>
      <c r="BC76" s="57"/>
      <c r="BD76" s="57"/>
      <c r="BE76" s="57"/>
      <c r="BF76" s="57"/>
    </row>
    <row r="77" spans="1:60" s="469" customFormat="1" ht="76.5" customHeight="1" x14ac:dyDescent="0.25">
      <c r="A77" s="444">
        <v>9</v>
      </c>
      <c r="B77" s="727" t="s">
        <v>796</v>
      </c>
      <c r="C77" s="727"/>
      <c r="D77" s="141" t="s">
        <v>600</v>
      </c>
      <c r="E77" s="141" t="s">
        <v>569</v>
      </c>
      <c r="F77" s="141" t="s">
        <v>597</v>
      </c>
      <c r="G77" s="141" t="s">
        <v>279</v>
      </c>
      <c r="H77" s="141" t="s">
        <v>571</v>
      </c>
      <c r="I77" s="141" t="s">
        <v>597</v>
      </c>
      <c r="J77" s="141" t="s">
        <v>885</v>
      </c>
      <c r="K77" s="141" t="s">
        <v>901</v>
      </c>
      <c r="L77" s="141" t="s">
        <v>350</v>
      </c>
      <c r="M77" s="141" t="s">
        <v>350</v>
      </c>
      <c r="N77" s="141"/>
      <c r="O77" s="141" t="s">
        <v>285</v>
      </c>
      <c r="P77" s="141" t="s">
        <v>581</v>
      </c>
      <c r="Q77" s="141"/>
      <c r="R77" s="141" t="s">
        <v>578</v>
      </c>
      <c r="S77" s="141"/>
      <c r="T77" s="141" t="s">
        <v>939</v>
      </c>
      <c r="U77" s="189" t="s">
        <v>794</v>
      </c>
      <c r="V77" s="213" t="s">
        <v>794</v>
      </c>
      <c r="W77" s="189"/>
      <c r="X77" s="189"/>
      <c r="Y77" s="214"/>
      <c r="Z77" s="189"/>
      <c r="AA77" s="215"/>
      <c r="AB77" s="706">
        <v>2004</v>
      </c>
      <c r="AC77" s="716"/>
      <c r="AD77" s="691">
        <v>2007</v>
      </c>
      <c r="AE77" s="691"/>
      <c r="AF77" s="691">
        <v>2011</v>
      </c>
      <c r="AG77" s="681"/>
      <c r="AH77" s="491"/>
      <c r="AI77" s="772"/>
      <c r="AJ77" s="275"/>
      <c r="AK77" s="275"/>
      <c r="AL77" s="493"/>
      <c r="AM77" s="493"/>
      <c r="AN77" s="493"/>
      <c r="AO77" s="493"/>
      <c r="AP77" s="493"/>
      <c r="AQ77" s="275"/>
      <c r="AR77" s="275"/>
      <c r="AS77" s="492"/>
      <c r="AT77" s="491"/>
      <c r="AU77" s="491"/>
      <c r="AV77" s="275"/>
      <c r="AW77" s="275"/>
      <c r="AX77" s="275"/>
      <c r="AY77" s="275"/>
      <c r="AZ77" s="275"/>
      <c r="BA77" s="275"/>
      <c r="BB77" s="275"/>
      <c r="BC77" s="275"/>
      <c r="BD77" s="275"/>
      <c r="BE77" s="275"/>
      <c r="BF77" s="275"/>
    </row>
    <row r="78" spans="1:60" s="469" customFormat="1" ht="15.75" x14ac:dyDescent="0.25">
      <c r="A78" s="444"/>
      <c r="B78" s="494" t="s">
        <v>3</v>
      </c>
      <c r="C78" s="494"/>
      <c r="D78" s="141"/>
      <c r="E78" s="141"/>
      <c r="F78" s="141"/>
      <c r="G78" s="141"/>
      <c r="H78" s="141"/>
      <c r="I78" s="141"/>
      <c r="J78" s="141"/>
      <c r="K78" s="141"/>
      <c r="L78" s="141"/>
      <c r="M78" s="141"/>
      <c r="N78" s="141"/>
      <c r="O78" s="141"/>
      <c r="P78" s="141"/>
      <c r="Q78" s="141"/>
      <c r="R78" s="141"/>
      <c r="S78" s="141"/>
      <c r="T78" s="141"/>
      <c r="U78" s="189"/>
      <c r="V78" s="213"/>
      <c r="W78" s="189"/>
      <c r="X78" s="189"/>
      <c r="Y78" s="214"/>
      <c r="Z78" s="189"/>
      <c r="AA78" s="215"/>
      <c r="AB78" s="495">
        <v>12471048</v>
      </c>
      <c r="AC78" s="495"/>
      <c r="AD78" s="480">
        <v>14593279</v>
      </c>
      <c r="AE78" s="480"/>
      <c r="AF78" s="343">
        <v>58839270</v>
      </c>
      <c r="AG78" s="343"/>
      <c r="AH78" s="343"/>
      <c r="AI78" s="343"/>
      <c r="AJ78" s="275"/>
      <c r="AK78" s="275"/>
      <c r="AL78" s="496"/>
      <c r="AM78" s="496"/>
      <c r="AN78" s="497"/>
      <c r="AO78" s="497"/>
      <c r="AP78" s="498"/>
      <c r="AQ78" s="275"/>
      <c r="AR78" s="275"/>
      <c r="AS78" s="495"/>
      <c r="AT78" s="480"/>
      <c r="AU78" s="343"/>
      <c r="AV78" s="275"/>
      <c r="AW78" s="275"/>
      <c r="AX78" s="275"/>
      <c r="AY78" s="275"/>
      <c r="AZ78" s="275"/>
      <c r="BA78" s="275"/>
      <c r="BB78" s="275"/>
      <c r="BC78" s="275"/>
      <c r="BD78" s="275"/>
      <c r="BE78" s="275"/>
    </row>
    <row r="79" spans="1:60" s="469" customFormat="1" ht="15.75" x14ac:dyDescent="0.25">
      <c r="A79" s="444"/>
      <c r="B79" s="494" t="s">
        <v>4</v>
      </c>
      <c r="C79" s="494"/>
      <c r="D79" s="141"/>
      <c r="E79" s="141"/>
      <c r="F79" s="141"/>
      <c r="G79" s="141"/>
      <c r="H79" s="141"/>
      <c r="I79" s="141"/>
      <c r="J79" s="141"/>
      <c r="K79" s="141"/>
      <c r="L79" s="141"/>
      <c r="M79" s="141"/>
      <c r="N79" s="141"/>
      <c r="O79" s="141"/>
      <c r="P79" s="141"/>
      <c r="Q79" s="141"/>
      <c r="R79" s="141"/>
      <c r="S79" s="141"/>
      <c r="T79" s="141"/>
      <c r="U79" s="189"/>
      <c r="V79" s="213"/>
      <c r="W79" s="189"/>
      <c r="X79" s="189"/>
      <c r="Y79" s="214"/>
      <c r="Z79" s="189"/>
      <c r="AA79" s="215"/>
      <c r="AB79" s="495">
        <v>7934512</v>
      </c>
      <c r="AC79" s="495"/>
      <c r="AD79" s="480">
        <v>11814438</v>
      </c>
      <c r="AE79" s="480"/>
      <c r="AF79" s="343">
        <v>46081807</v>
      </c>
      <c r="AG79" s="343"/>
      <c r="AH79" s="343"/>
      <c r="AI79" s="343"/>
      <c r="AJ79" s="275"/>
      <c r="AK79" s="275"/>
      <c r="AL79" s="496"/>
      <c r="AM79" s="496"/>
      <c r="AN79" s="497"/>
      <c r="AO79" s="497"/>
      <c r="AP79" s="498"/>
      <c r="AQ79" s="275"/>
      <c r="AR79" s="275"/>
      <c r="AS79" s="495"/>
      <c r="AT79" s="480"/>
      <c r="AU79" s="343"/>
      <c r="AV79" s="275"/>
      <c r="AW79" s="275"/>
      <c r="AX79" s="275"/>
      <c r="AY79" s="275"/>
      <c r="AZ79" s="275"/>
      <c r="BA79" s="275"/>
      <c r="BB79" s="275"/>
      <c r="BC79" s="275"/>
      <c r="BD79" s="275"/>
      <c r="BE79" s="275"/>
    </row>
    <row r="80" spans="1:60" s="469" customFormat="1" ht="15.75" x14ac:dyDescent="0.25">
      <c r="A80" s="444"/>
      <c r="B80" s="494" t="s">
        <v>5</v>
      </c>
      <c r="C80" s="494"/>
      <c r="D80" s="141"/>
      <c r="E80" s="141"/>
      <c r="F80" s="141"/>
      <c r="G80" s="141"/>
      <c r="H80" s="141"/>
      <c r="I80" s="141"/>
      <c r="J80" s="141"/>
      <c r="K80" s="141"/>
      <c r="L80" s="141"/>
      <c r="M80" s="141"/>
      <c r="N80" s="141"/>
      <c r="O80" s="141"/>
      <c r="P80" s="141"/>
      <c r="Q80" s="141"/>
      <c r="R80" s="141"/>
      <c r="S80" s="141"/>
      <c r="T80" s="141"/>
      <c r="U80" s="189"/>
      <c r="V80" s="213"/>
      <c r="W80" s="189"/>
      <c r="X80" s="189"/>
      <c r="Y80" s="214"/>
      <c r="Z80" s="189"/>
      <c r="AA80" s="215"/>
      <c r="AB80" s="495">
        <v>11874000</v>
      </c>
      <c r="AC80" s="495"/>
      <c r="AD80" s="343">
        <v>13504156</v>
      </c>
      <c r="AE80" s="343"/>
      <c r="AF80" s="343">
        <v>46792716</v>
      </c>
      <c r="AG80" s="343"/>
      <c r="AH80" s="343"/>
      <c r="AI80" s="343"/>
      <c r="AJ80" s="275"/>
      <c r="AK80" s="275"/>
      <c r="AL80" s="496"/>
      <c r="AM80" s="496"/>
      <c r="AN80" s="497"/>
      <c r="AO80" s="497"/>
      <c r="AP80" s="498"/>
      <c r="AQ80" s="275"/>
      <c r="AR80" s="275"/>
      <c r="AS80" s="495"/>
      <c r="AT80" s="343"/>
      <c r="AU80" s="343"/>
      <c r="AV80" s="275"/>
      <c r="AW80" s="275"/>
      <c r="AX80" s="275"/>
      <c r="AY80" s="275"/>
      <c r="AZ80" s="275"/>
      <c r="BA80" s="275"/>
      <c r="BB80" s="275"/>
      <c r="BC80" s="275"/>
      <c r="BD80" s="275"/>
      <c r="BE80" s="275"/>
    </row>
    <row r="81" spans="1:59" s="469" customFormat="1" ht="15.75" x14ac:dyDescent="0.25">
      <c r="A81" s="444"/>
      <c r="B81" s="494" t="s">
        <v>251</v>
      </c>
      <c r="C81" s="494"/>
      <c r="D81" s="141"/>
      <c r="E81" s="141"/>
      <c r="F81" s="141"/>
      <c r="G81" s="141"/>
      <c r="H81" s="141"/>
      <c r="I81" s="141"/>
      <c r="J81" s="141"/>
      <c r="K81" s="141"/>
      <c r="L81" s="141"/>
      <c r="M81" s="141"/>
      <c r="N81" s="141"/>
      <c r="O81" s="141"/>
      <c r="P81" s="141"/>
      <c r="Q81" s="141"/>
      <c r="R81" s="141"/>
      <c r="S81" s="141"/>
      <c r="T81" s="141"/>
      <c r="U81" s="189"/>
      <c r="V81" s="213"/>
      <c r="W81" s="189"/>
      <c r="X81" s="189"/>
      <c r="Y81" s="214"/>
      <c r="Z81" s="189"/>
      <c r="AA81" s="215"/>
      <c r="AB81" s="495">
        <v>10674977</v>
      </c>
      <c r="AC81" s="495"/>
      <c r="AD81" s="343">
        <v>10933396</v>
      </c>
      <c r="AE81" s="343"/>
      <c r="AF81" s="343">
        <v>42365652</v>
      </c>
      <c r="AG81" s="343"/>
      <c r="AH81" s="343"/>
      <c r="AI81" s="343"/>
      <c r="AJ81" s="275"/>
      <c r="AK81" s="275"/>
      <c r="AL81" s="496"/>
      <c r="AM81" s="496"/>
      <c r="AN81" s="497"/>
      <c r="AO81" s="497"/>
      <c r="AP81" s="498"/>
      <c r="AQ81" s="275"/>
      <c r="AR81" s="275"/>
      <c r="AS81" s="495"/>
      <c r="AT81" s="343"/>
      <c r="AU81" s="343"/>
      <c r="AV81" s="275"/>
      <c r="AW81" s="275"/>
      <c r="AX81" s="275"/>
      <c r="AY81" s="275"/>
      <c r="AZ81" s="275"/>
      <c r="BA81" s="275"/>
      <c r="BB81" s="275"/>
      <c r="BC81" s="275"/>
      <c r="BD81" s="275"/>
      <c r="BE81" s="275"/>
    </row>
    <row r="82" spans="1:59" s="469" customFormat="1" ht="16.5" customHeight="1" x14ac:dyDescent="0.25">
      <c r="A82" s="444"/>
      <c r="B82" s="494" t="s">
        <v>252</v>
      </c>
      <c r="C82" s="494"/>
      <c r="D82" s="141"/>
      <c r="E82" s="141"/>
      <c r="F82" s="141"/>
      <c r="G82" s="141"/>
      <c r="H82" s="141"/>
      <c r="I82" s="141"/>
      <c r="J82" s="141"/>
      <c r="K82" s="141"/>
      <c r="L82" s="141"/>
      <c r="M82" s="141"/>
      <c r="N82" s="141"/>
      <c r="O82" s="141"/>
      <c r="P82" s="141"/>
      <c r="Q82" s="141"/>
      <c r="R82" s="141"/>
      <c r="S82" s="141"/>
      <c r="T82" s="141"/>
      <c r="U82" s="189"/>
      <c r="V82" s="213"/>
      <c r="W82" s="189"/>
      <c r="X82" s="189"/>
      <c r="Y82" s="214"/>
      <c r="Z82" s="189"/>
      <c r="AA82" s="215"/>
      <c r="AB82" s="495">
        <v>12740392</v>
      </c>
      <c r="AC82" s="495"/>
      <c r="AD82" s="343">
        <v>15513210</v>
      </c>
      <c r="AE82" s="343"/>
      <c r="AF82" s="343">
        <v>39547868</v>
      </c>
      <c r="AG82" s="343"/>
      <c r="AH82" s="343"/>
      <c r="AI82" s="343"/>
      <c r="AJ82" s="275"/>
      <c r="AK82" s="275"/>
      <c r="AL82" s="496"/>
      <c r="AM82" s="496"/>
      <c r="AN82" s="497"/>
      <c r="AO82" s="497"/>
      <c r="AP82" s="498"/>
      <c r="AQ82" s="275"/>
      <c r="AR82" s="275"/>
      <c r="AS82" s="495"/>
      <c r="AT82" s="343"/>
      <c r="AU82" s="343"/>
      <c r="AV82" s="275"/>
      <c r="AW82" s="275"/>
      <c r="AX82" s="275"/>
      <c r="AY82" s="275"/>
      <c r="AZ82" s="275"/>
      <c r="BA82" s="275"/>
      <c r="BB82" s="275"/>
      <c r="BC82" s="275"/>
      <c r="BD82" s="275"/>
      <c r="BE82" s="275"/>
    </row>
    <row r="83" spans="1:59" s="469" customFormat="1" ht="17.25" customHeight="1" x14ac:dyDescent="0.25">
      <c r="A83" s="444"/>
      <c r="B83" s="494" t="s">
        <v>6</v>
      </c>
      <c r="C83" s="494"/>
      <c r="D83" s="141"/>
      <c r="E83" s="141"/>
      <c r="F83" s="141"/>
      <c r="G83" s="141"/>
      <c r="H83" s="141"/>
      <c r="I83" s="141"/>
      <c r="J83" s="141"/>
      <c r="K83" s="141"/>
      <c r="L83" s="141"/>
      <c r="M83" s="141"/>
      <c r="N83" s="141"/>
      <c r="O83" s="141"/>
      <c r="P83" s="141"/>
      <c r="Q83" s="141"/>
      <c r="R83" s="141"/>
      <c r="S83" s="141"/>
      <c r="T83" s="141"/>
      <c r="U83" s="189"/>
      <c r="V83" s="213"/>
      <c r="W83" s="189"/>
      <c r="X83" s="189"/>
      <c r="Y83" s="214"/>
      <c r="Z83" s="189"/>
      <c r="AA83" s="215"/>
      <c r="AB83" s="495">
        <v>3067998</v>
      </c>
      <c r="AC83" s="495"/>
      <c r="AD83" s="343">
        <v>3095153</v>
      </c>
      <c r="AE83" s="343"/>
      <c r="AF83" s="343">
        <v>13690099</v>
      </c>
      <c r="AG83" s="343"/>
      <c r="AH83" s="343"/>
      <c r="AI83" s="343"/>
      <c r="AJ83" s="275"/>
      <c r="AK83" s="275"/>
      <c r="AL83" s="496"/>
      <c r="AM83" s="496"/>
      <c r="AN83" s="497"/>
      <c r="AO83" s="497"/>
      <c r="AP83" s="498"/>
      <c r="AQ83" s="275"/>
      <c r="AR83" s="275"/>
      <c r="AS83" s="495"/>
      <c r="AT83" s="343"/>
      <c r="AU83" s="343"/>
      <c r="AV83" s="275"/>
      <c r="AW83" s="275"/>
      <c r="AX83" s="275"/>
      <c r="AY83" s="275"/>
      <c r="AZ83" s="275"/>
      <c r="BA83" s="275"/>
      <c r="BB83" s="275"/>
      <c r="BC83" s="275"/>
      <c r="BD83" s="275"/>
      <c r="BE83" s="275"/>
    </row>
    <row r="84" spans="1:59" s="469" customFormat="1" ht="15.75" x14ac:dyDescent="0.25">
      <c r="A84" s="444"/>
      <c r="B84" s="494" t="s">
        <v>8</v>
      </c>
      <c r="C84" s="494"/>
      <c r="D84" s="141"/>
      <c r="E84" s="141"/>
      <c r="F84" s="141"/>
      <c r="G84" s="141"/>
      <c r="H84" s="141"/>
      <c r="I84" s="141"/>
      <c r="J84" s="141"/>
      <c r="K84" s="141"/>
      <c r="L84" s="141"/>
      <c r="M84" s="141"/>
      <c r="N84" s="141"/>
      <c r="O84" s="141"/>
      <c r="P84" s="141"/>
      <c r="Q84" s="141"/>
      <c r="R84" s="141"/>
      <c r="S84" s="141"/>
      <c r="T84" s="141"/>
      <c r="U84" s="189"/>
      <c r="V84" s="213"/>
      <c r="W84" s="189"/>
      <c r="X84" s="189"/>
      <c r="Y84" s="214"/>
      <c r="Z84" s="189"/>
      <c r="AA84" s="215"/>
      <c r="AB84" s="495">
        <v>1305568</v>
      </c>
      <c r="AC84" s="495"/>
      <c r="AD84" s="343">
        <v>1293287</v>
      </c>
      <c r="AE84" s="343"/>
      <c r="AF84" s="343">
        <v>6263430</v>
      </c>
      <c r="AG84" s="343"/>
      <c r="AH84" s="343"/>
      <c r="AI84" s="343"/>
      <c r="AJ84" s="275"/>
      <c r="AK84" s="275"/>
      <c r="AL84" s="496"/>
      <c r="AM84" s="496"/>
      <c r="AN84" s="497"/>
      <c r="AO84" s="497"/>
      <c r="AP84" s="498"/>
      <c r="AQ84" s="275"/>
      <c r="AR84" s="275"/>
      <c r="AS84" s="495"/>
      <c r="AT84" s="343"/>
      <c r="AU84" s="343"/>
      <c r="AV84" s="275"/>
      <c r="AW84" s="275"/>
      <c r="AX84" s="275"/>
      <c r="AY84" s="275"/>
      <c r="AZ84" s="275"/>
      <c r="BA84" s="275"/>
      <c r="BB84" s="275"/>
      <c r="BC84" s="275"/>
      <c r="BD84" s="275"/>
      <c r="BE84" s="275"/>
    </row>
    <row r="85" spans="1:59" s="469" customFormat="1" ht="15.75" x14ac:dyDescent="0.25">
      <c r="A85" s="444"/>
      <c r="B85" s="494" t="s">
        <v>7</v>
      </c>
      <c r="C85" s="494"/>
      <c r="D85" s="141"/>
      <c r="E85" s="141"/>
      <c r="F85" s="141"/>
      <c r="G85" s="141"/>
      <c r="H85" s="141"/>
      <c r="I85" s="141"/>
      <c r="J85" s="141"/>
      <c r="K85" s="141"/>
      <c r="L85" s="141"/>
      <c r="M85" s="141"/>
      <c r="N85" s="141"/>
      <c r="O85" s="141"/>
      <c r="P85" s="141"/>
      <c r="Q85" s="141"/>
      <c r="R85" s="141"/>
      <c r="S85" s="141"/>
      <c r="T85" s="141"/>
      <c r="U85" s="189"/>
      <c r="V85" s="213"/>
      <c r="W85" s="189"/>
      <c r="X85" s="189"/>
      <c r="Y85" s="214"/>
      <c r="Z85" s="189"/>
      <c r="AA85" s="215"/>
      <c r="AB85" s="495">
        <v>1396694</v>
      </c>
      <c r="AC85" s="495"/>
      <c r="AD85" s="343">
        <v>1792294</v>
      </c>
      <c r="AE85" s="343"/>
      <c r="AF85" s="343">
        <v>5325126</v>
      </c>
      <c r="AG85" s="343"/>
      <c r="AH85" s="343"/>
      <c r="AI85" s="343"/>
      <c r="AJ85" s="275"/>
      <c r="AK85" s="275"/>
      <c r="AL85" s="496"/>
      <c r="AM85" s="496"/>
      <c r="AN85" s="496"/>
      <c r="AO85" s="499"/>
      <c r="AP85" s="498"/>
      <c r="AQ85" s="275"/>
      <c r="AR85" s="275"/>
      <c r="AS85" s="495"/>
      <c r="AT85" s="343"/>
      <c r="AU85" s="343"/>
      <c r="AV85" s="275"/>
      <c r="AW85" s="275"/>
      <c r="AX85" s="275"/>
      <c r="AY85" s="275"/>
      <c r="AZ85" s="275"/>
      <c r="BA85" s="275"/>
      <c r="BB85" s="275"/>
      <c r="BC85" s="275"/>
      <c r="BD85" s="275"/>
      <c r="BE85" s="275"/>
    </row>
    <row r="86" spans="1:59" s="469" customFormat="1" ht="15.75" x14ac:dyDescent="0.25">
      <c r="A86" s="444"/>
      <c r="B86" s="494" t="s">
        <v>800</v>
      </c>
      <c r="C86" s="494"/>
      <c r="D86" s="141"/>
      <c r="E86" s="141"/>
      <c r="F86" s="141"/>
      <c r="G86" s="141"/>
      <c r="H86" s="141"/>
      <c r="I86" s="141"/>
      <c r="J86" s="141"/>
      <c r="K86" s="141"/>
      <c r="L86" s="141"/>
      <c r="M86" s="141"/>
      <c r="N86" s="141"/>
      <c r="O86" s="141"/>
      <c r="P86" s="141"/>
      <c r="Q86" s="141"/>
      <c r="R86" s="141"/>
      <c r="S86" s="141"/>
      <c r="T86" s="141"/>
      <c r="U86" s="189"/>
      <c r="V86" s="213"/>
      <c r="W86" s="189"/>
      <c r="X86" s="189"/>
      <c r="Y86" s="214"/>
      <c r="Z86" s="189"/>
      <c r="AA86" s="215"/>
      <c r="AB86" s="495">
        <v>1482218</v>
      </c>
      <c r="AC86" s="495"/>
      <c r="AD86" s="275"/>
      <c r="AE86" s="275"/>
      <c r="AF86" s="275"/>
      <c r="AG86" s="275"/>
      <c r="AH86" s="343"/>
      <c r="AI86" s="343"/>
      <c r="AJ86" s="275"/>
      <c r="AK86" s="275"/>
      <c r="AL86" s="496"/>
      <c r="AM86" s="496"/>
      <c r="AN86" s="496"/>
      <c r="AO86" s="499"/>
      <c r="AP86" s="498"/>
      <c r="AQ86" s="275"/>
      <c r="AR86" s="275"/>
      <c r="AS86" s="495"/>
      <c r="AT86" s="275"/>
      <c r="AU86" s="275"/>
      <c r="AV86" s="275"/>
      <c r="AW86" s="275"/>
      <c r="AX86" s="275"/>
      <c r="AY86" s="275"/>
      <c r="AZ86" s="275"/>
      <c r="BA86" s="275"/>
      <c r="BB86" s="275"/>
      <c r="BC86" s="275"/>
      <c r="BD86" s="275"/>
      <c r="BE86" s="275"/>
    </row>
    <row r="87" spans="1:59" ht="15.75" x14ac:dyDescent="0.25">
      <c r="A87" s="85"/>
      <c r="B87" s="141"/>
      <c r="C87" s="141"/>
      <c r="D87" s="141"/>
      <c r="E87" s="141"/>
      <c r="F87" s="141"/>
      <c r="G87" s="141"/>
      <c r="H87" s="141"/>
      <c r="I87" s="141"/>
      <c r="J87" s="141"/>
      <c r="K87" s="141"/>
      <c r="L87" s="141"/>
      <c r="M87" s="141"/>
      <c r="N87" s="141"/>
      <c r="O87" s="141"/>
      <c r="P87" s="141"/>
      <c r="Q87" s="141"/>
      <c r="R87" s="141"/>
      <c r="S87" s="141"/>
      <c r="T87" s="141"/>
      <c r="U87" s="189"/>
      <c r="V87" s="213"/>
      <c r="W87" s="189"/>
      <c r="X87" s="189"/>
      <c r="Y87" s="214"/>
      <c r="Z87" s="189"/>
      <c r="AA87" s="215"/>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row>
    <row r="88" spans="1:59" ht="84" x14ac:dyDescent="0.25">
      <c r="A88" s="85">
        <v>10</v>
      </c>
      <c r="B88" s="141" t="s">
        <v>900</v>
      </c>
      <c r="C88" s="141"/>
      <c r="D88" s="141" t="s">
        <v>907</v>
      </c>
      <c r="E88" s="141" t="s">
        <v>569</v>
      </c>
      <c r="F88" s="141" t="s">
        <v>597</v>
      </c>
      <c r="G88" s="141" t="s">
        <v>279</v>
      </c>
      <c r="H88" s="141" t="s">
        <v>571</v>
      </c>
      <c r="I88" s="141" t="s">
        <v>597</v>
      </c>
      <c r="J88" s="141" t="s">
        <v>908</v>
      </c>
      <c r="K88" s="141" t="s">
        <v>602</v>
      </c>
      <c r="L88" s="141" t="s">
        <v>350</v>
      </c>
      <c r="M88" s="141" t="s">
        <v>350</v>
      </c>
      <c r="N88" s="141"/>
      <c r="O88" s="141" t="s">
        <v>285</v>
      </c>
      <c r="P88" s="141" t="s">
        <v>581</v>
      </c>
      <c r="Q88" s="141"/>
      <c r="R88" s="141" t="s">
        <v>578</v>
      </c>
      <c r="S88" s="141"/>
      <c r="T88" s="141" t="s">
        <v>940</v>
      </c>
      <c r="U88" s="189" t="s">
        <v>794</v>
      </c>
      <c r="V88" s="213" t="s">
        <v>794</v>
      </c>
      <c r="W88" s="189"/>
      <c r="X88" s="189"/>
      <c r="Y88" s="214"/>
      <c r="Z88" s="189"/>
      <c r="AA88" s="215"/>
      <c r="AB88" s="824" t="s">
        <v>824</v>
      </c>
      <c r="AC88" s="824"/>
      <c r="AD88" s="824"/>
      <c r="AE88" s="824"/>
      <c r="AF88" s="824"/>
      <c r="AG88" s="768"/>
      <c r="AH88" s="823" t="s">
        <v>348</v>
      </c>
      <c r="AI88" s="824"/>
      <c r="AJ88" s="824"/>
      <c r="AK88" s="824"/>
      <c r="AL88" s="825"/>
      <c r="AM88" s="768"/>
      <c r="AN88" s="824" t="s">
        <v>825</v>
      </c>
      <c r="AO88" s="824"/>
      <c r="AP88" s="824"/>
      <c r="AQ88" s="823" t="s">
        <v>826</v>
      </c>
      <c r="AR88" s="824"/>
      <c r="AS88" s="825"/>
      <c r="AT88" s="824" t="s">
        <v>827</v>
      </c>
      <c r="AU88" s="824"/>
      <c r="AV88" s="825"/>
      <c r="AW88" s="824" t="s">
        <v>828</v>
      </c>
      <c r="AX88" s="824"/>
      <c r="AY88" s="825"/>
      <c r="AZ88" s="845"/>
      <c r="BA88" s="845"/>
      <c r="BB88" s="845"/>
      <c r="BC88" s="57"/>
      <c r="BD88" s="57"/>
      <c r="BE88" s="57"/>
      <c r="BF88" s="57"/>
      <c r="BG88" s="57"/>
    </row>
    <row r="89" spans="1:59" ht="15.75" x14ac:dyDescent="0.25">
      <c r="A89" s="85"/>
      <c r="B89" s="141"/>
      <c r="C89" s="141"/>
      <c r="D89" s="141"/>
      <c r="E89" s="141"/>
      <c r="F89" s="141"/>
      <c r="G89" s="141"/>
      <c r="H89" s="141"/>
      <c r="I89" s="141"/>
      <c r="J89" s="141"/>
      <c r="K89" s="141"/>
      <c r="L89" s="141"/>
      <c r="M89" s="141"/>
      <c r="N89" s="141"/>
      <c r="O89" s="141"/>
      <c r="P89" s="141"/>
      <c r="Q89" s="141"/>
      <c r="R89" s="141"/>
      <c r="S89" s="141"/>
      <c r="T89" s="141"/>
      <c r="U89" s="189"/>
      <c r="V89" s="213"/>
      <c r="W89" s="189"/>
      <c r="X89" s="189"/>
      <c r="Y89" s="214"/>
      <c r="Z89" s="189"/>
      <c r="AA89" s="215"/>
      <c r="AB89" s="704">
        <v>2004</v>
      </c>
      <c r="AC89" s="704"/>
      <c r="AD89" s="704">
        <v>2007</v>
      </c>
      <c r="AE89" s="704"/>
      <c r="AF89" s="705">
        <v>2011</v>
      </c>
      <c r="AG89" s="704"/>
      <c r="AH89" s="704">
        <v>2004</v>
      </c>
      <c r="AI89" s="704"/>
      <c r="AJ89" s="704">
        <v>2007</v>
      </c>
      <c r="AK89" s="704"/>
      <c r="AL89" s="705">
        <v>2011</v>
      </c>
      <c r="AM89" s="704"/>
      <c r="AN89" s="704">
        <v>2004</v>
      </c>
      <c r="AO89" s="704">
        <v>2007</v>
      </c>
      <c r="AP89" s="705">
        <v>2011</v>
      </c>
      <c r="AQ89" s="704">
        <v>2004</v>
      </c>
      <c r="AR89" s="704">
        <v>2007</v>
      </c>
      <c r="AS89" s="705">
        <v>2011</v>
      </c>
      <c r="AT89" s="704">
        <v>2004</v>
      </c>
      <c r="AU89" s="704">
        <v>2007</v>
      </c>
      <c r="AV89" s="705">
        <v>2011</v>
      </c>
      <c r="AW89" s="704">
        <v>2004</v>
      </c>
      <c r="AX89" s="704">
        <v>2007</v>
      </c>
      <c r="AY89" s="705">
        <v>2011</v>
      </c>
      <c r="AZ89" s="365"/>
      <c r="BA89" s="365"/>
      <c r="BB89" s="365"/>
      <c r="BC89" s="57"/>
      <c r="BD89" s="57"/>
      <c r="BE89" s="57"/>
      <c r="BF89" s="57"/>
      <c r="BG89" s="57"/>
    </row>
    <row r="90" spans="1:59" ht="15.75" x14ac:dyDescent="0.25">
      <c r="A90" s="85"/>
      <c r="B90" s="252" t="s">
        <v>3</v>
      </c>
      <c r="C90" s="252"/>
      <c r="D90" s="141"/>
      <c r="E90" s="141"/>
      <c r="F90" s="141"/>
      <c r="G90" s="141"/>
      <c r="H90" s="141"/>
      <c r="I90" s="141"/>
      <c r="J90" s="141"/>
      <c r="K90" s="141"/>
      <c r="L90" s="141"/>
      <c r="M90" s="141"/>
      <c r="N90" s="141"/>
      <c r="O90" s="141"/>
      <c r="P90" s="141"/>
      <c r="Q90" s="141"/>
      <c r="R90" s="141"/>
      <c r="S90" s="141"/>
      <c r="T90" s="141"/>
      <c r="U90" s="189"/>
      <c r="V90" s="213"/>
      <c r="W90" s="189"/>
      <c r="X90" s="189"/>
      <c r="Y90" s="214"/>
      <c r="Z90" s="189"/>
      <c r="AA90" s="215"/>
      <c r="AB90" s="239"/>
      <c r="AC90" s="239"/>
      <c r="AD90" s="255">
        <v>26060112</v>
      </c>
      <c r="AE90" s="255"/>
      <c r="AF90" s="367">
        <v>18537957</v>
      </c>
      <c r="AG90" s="774"/>
      <c r="AH90" s="255"/>
      <c r="AI90" s="255"/>
      <c r="AJ90" s="255">
        <v>2020279</v>
      </c>
      <c r="AK90" s="255"/>
      <c r="AL90" s="367">
        <v>7269160</v>
      </c>
      <c r="AM90" s="774"/>
      <c r="AN90" s="239"/>
      <c r="AO90" s="255">
        <v>26831860</v>
      </c>
      <c r="AP90" s="367">
        <v>20109492</v>
      </c>
      <c r="AQ90" s="239"/>
      <c r="AR90" s="511">
        <v>86250420</v>
      </c>
      <c r="AS90" s="367">
        <v>111247068</v>
      </c>
      <c r="AT90" s="255">
        <v>1484842</v>
      </c>
      <c r="AU90" s="255">
        <v>1239906</v>
      </c>
      <c r="AV90" s="367">
        <v>1242041</v>
      </c>
      <c r="AW90" s="239"/>
      <c r="AX90" s="255">
        <v>209676</v>
      </c>
      <c r="AY90" s="366">
        <v>4061</v>
      </c>
      <c r="AZ90" s="275"/>
      <c r="BA90" s="275"/>
      <c r="BB90" s="275"/>
      <c r="BC90" s="57"/>
      <c r="BD90" s="57"/>
      <c r="BE90" s="57"/>
      <c r="BF90" s="57"/>
      <c r="BG90" s="57"/>
    </row>
    <row r="91" spans="1:59" s="469" customFormat="1" ht="15.75" x14ac:dyDescent="0.25">
      <c r="A91" s="444"/>
      <c r="B91" s="494" t="s">
        <v>4</v>
      </c>
      <c r="C91" s="494"/>
      <c r="D91" s="141"/>
      <c r="E91" s="141"/>
      <c r="F91" s="141"/>
      <c r="G91" s="141"/>
      <c r="H91" s="141"/>
      <c r="I91" s="141"/>
      <c r="J91" s="141"/>
      <c r="K91" s="141"/>
      <c r="L91" s="141"/>
      <c r="M91" s="141"/>
      <c r="N91" s="141"/>
      <c r="O91" s="141"/>
      <c r="P91" s="141"/>
      <c r="Q91" s="141"/>
      <c r="R91" s="141"/>
      <c r="S91" s="141"/>
      <c r="T91" s="141"/>
      <c r="U91" s="189"/>
      <c r="V91" s="213"/>
      <c r="W91" s="189"/>
      <c r="X91" s="189"/>
      <c r="Y91" s="214"/>
      <c r="Z91" s="189"/>
      <c r="AA91" s="215"/>
      <c r="AB91" s="495">
        <v>15762562</v>
      </c>
      <c r="AC91" s="495"/>
      <c r="AD91" s="495">
        <v>19483285</v>
      </c>
      <c r="AE91" s="495"/>
      <c r="AF91" s="535">
        <v>11980261</v>
      </c>
      <c r="AG91" s="775"/>
      <c r="AH91" s="495">
        <v>28186867</v>
      </c>
      <c r="AI91" s="495"/>
      <c r="AJ91" s="495">
        <v>5046586</v>
      </c>
      <c r="AK91" s="495"/>
      <c r="AL91" s="535">
        <v>4030792</v>
      </c>
      <c r="AM91" s="775"/>
      <c r="AO91" s="495">
        <v>19771998</v>
      </c>
      <c r="AP91" s="535">
        <v>18609021</v>
      </c>
      <c r="AQ91" s="495">
        <v>46281975</v>
      </c>
      <c r="AR91" s="495">
        <v>52884764</v>
      </c>
      <c r="AS91" s="535">
        <v>42579816</v>
      </c>
      <c r="AT91" s="495">
        <v>962857</v>
      </c>
      <c r="AU91" s="495">
        <v>4664165</v>
      </c>
      <c r="AV91" s="535">
        <v>1682505</v>
      </c>
      <c r="AW91" s="538"/>
      <c r="AX91" s="495">
        <v>2663032</v>
      </c>
      <c r="AY91" s="535">
        <v>589365</v>
      </c>
      <c r="AZ91" s="275"/>
      <c r="BA91" s="275"/>
      <c r="BB91" s="275"/>
      <c r="BC91" s="275"/>
      <c r="BD91" s="275"/>
      <c r="BE91" s="275"/>
      <c r="BF91" s="275"/>
      <c r="BG91" s="275"/>
    </row>
    <row r="92" spans="1:59" ht="15.75" x14ac:dyDescent="0.25">
      <c r="A92" s="85"/>
      <c r="B92" s="252" t="s">
        <v>5</v>
      </c>
      <c r="C92" s="252"/>
      <c r="D92" s="141"/>
      <c r="E92" s="141"/>
      <c r="F92" s="141"/>
      <c r="G92" s="141"/>
      <c r="H92" s="141"/>
      <c r="I92" s="141"/>
      <c r="J92" s="141"/>
      <c r="K92" s="141"/>
      <c r="L92" s="141"/>
      <c r="M92" s="141"/>
      <c r="N92" s="141"/>
      <c r="O92" s="141"/>
      <c r="P92" s="141"/>
      <c r="Q92" s="141"/>
      <c r="R92" s="141"/>
      <c r="S92" s="141"/>
      <c r="T92" s="141"/>
      <c r="U92" s="189"/>
      <c r="V92" s="213"/>
      <c r="W92" s="189"/>
      <c r="X92" s="189"/>
      <c r="Y92" s="214"/>
      <c r="Z92" s="189"/>
      <c r="AA92" s="215"/>
      <c r="AB92" s="255">
        <v>19330632</v>
      </c>
      <c r="AC92" s="255"/>
      <c r="AD92" s="255">
        <v>23039672</v>
      </c>
      <c r="AE92" s="255"/>
      <c r="AF92" s="366">
        <v>18353781</v>
      </c>
      <c r="AG92" s="774"/>
      <c r="AH92" s="255">
        <v>36709827</v>
      </c>
      <c r="AI92" s="255"/>
      <c r="AJ92" s="255">
        <v>20722552</v>
      </c>
      <c r="AK92" s="255"/>
      <c r="AL92" s="366">
        <v>20043476</v>
      </c>
      <c r="AM92" s="774"/>
      <c r="AO92" s="255">
        <v>17746462</v>
      </c>
      <c r="AP92" s="366">
        <v>12542036</v>
      </c>
      <c r="AQ92" s="255">
        <v>76673832</v>
      </c>
      <c r="AR92" s="255">
        <v>64999789</v>
      </c>
      <c r="AS92" s="366">
        <v>100988653</v>
      </c>
      <c r="AT92" s="255">
        <v>1784704</v>
      </c>
      <c r="AU92" s="255">
        <v>1136654</v>
      </c>
      <c r="AV92" s="366">
        <v>2204190</v>
      </c>
      <c r="AW92" s="239"/>
      <c r="AX92" s="255">
        <v>0</v>
      </c>
      <c r="AY92" s="366">
        <v>760895</v>
      </c>
      <c r="AZ92" s="57"/>
      <c r="BA92" s="57"/>
      <c r="BB92" s="57"/>
      <c r="BC92" s="57"/>
      <c r="BD92" s="57"/>
      <c r="BE92" s="57"/>
      <c r="BF92" s="57"/>
      <c r="BG92" s="57"/>
    </row>
    <row r="93" spans="1:59" ht="15.75" x14ac:dyDescent="0.25">
      <c r="A93" s="85"/>
      <c r="B93" s="252" t="s">
        <v>251</v>
      </c>
      <c r="C93" s="252"/>
      <c r="D93" s="141"/>
      <c r="E93" s="141"/>
      <c r="F93" s="141"/>
      <c r="G93" s="141"/>
      <c r="H93" s="141"/>
      <c r="I93" s="141"/>
      <c r="J93" s="141"/>
      <c r="K93" s="141"/>
      <c r="L93" s="141"/>
      <c r="M93" s="141"/>
      <c r="N93" s="141"/>
      <c r="O93" s="141"/>
      <c r="P93" s="141"/>
      <c r="Q93" s="141"/>
      <c r="R93" s="141"/>
      <c r="S93" s="141"/>
      <c r="T93" s="141"/>
      <c r="U93" s="189"/>
      <c r="V93" s="213"/>
      <c r="W93" s="189"/>
      <c r="X93" s="189"/>
      <c r="Y93" s="214"/>
      <c r="Z93" s="189"/>
      <c r="AA93" s="215"/>
      <c r="AB93" s="255"/>
      <c r="AC93" s="255"/>
      <c r="AD93" s="255">
        <v>15980050</v>
      </c>
      <c r="AE93" s="255"/>
      <c r="AF93" s="366">
        <v>17934080</v>
      </c>
      <c r="AG93" s="774"/>
      <c r="AH93" s="495"/>
      <c r="AI93" s="495"/>
      <c r="AJ93" s="255">
        <v>10361461</v>
      </c>
      <c r="AK93" s="255"/>
      <c r="AL93" s="366">
        <v>11663702</v>
      </c>
      <c r="AM93" s="774"/>
      <c r="AN93" s="239"/>
      <c r="AO93" s="255">
        <v>24146165</v>
      </c>
      <c r="AP93" s="366">
        <v>37895172</v>
      </c>
      <c r="AQ93" s="255"/>
      <c r="AR93" s="255">
        <v>69499640</v>
      </c>
      <c r="AS93" s="366">
        <v>139023928</v>
      </c>
      <c r="AT93" s="255">
        <v>1761693</v>
      </c>
      <c r="AU93" s="255">
        <v>37878</v>
      </c>
      <c r="AV93" s="366">
        <v>2050057</v>
      </c>
      <c r="AW93" s="239"/>
      <c r="AX93" s="255">
        <v>3621700</v>
      </c>
      <c r="AY93" s="364" t="s">
        <v>26</v>
      </c>
      <c r="AZ93" s="57"/>
      <c r="BA93" s="57"/>
      <c r="BB93" s="57"/>
      <c r="BC93" s="57"/>
      <c r="BD93" s="57"/>
      <c r="BE93" s="57"/>
      <c r="BF93" s="57"/>
      <c r="BG93" s="57"/>
    </row>
    <row r="94" spans="1:59" ht="15.75" x14ac:dyDescent="0.25">
      <c r="A94" s="85"/>
      <c r="B94" s="252" t="s">
        <v>252</v>
      </c>
      <c r="C94" s="252"/>
      <c r="D94" s="141"/>
      <c r="E94" s="141"/>
      <c r="F94" s="141"/>
      <c r="G94" s="141"/>
      <c r="H94" s="141"/>
      <c r="I94" s="141"/>
      <c r="J94" s="141"/>
      <c r="K94" s="141"/>
      <c r="L94" s="141"/>
      <c r="M94" s="141"/>
      <c r="N94" s="141"/>
      <c r="O94" s="141"/>
      <c r="P94" s="141"/>
      <c r="Q94" s="141"/>
      <c r="R94" s="141"/>
      <c r="S94" s="141"/>
      <c r="T94" s="141"/>
      <c r="U94" s="189"/>
      <c r="V94" s="213"/>
      <c r="W94" s="189"/>
      <c r="X94" s="189"/>
      <c r="Y94" s="214"/>
      <c r="Z94" s="189"/>
      <c r="AA94" s="215"/>
      <c r="AB94" s="255"/>
      <c r="AC94" s="255"/>
      <c r="AD94" s="255">
        <v>30036156</v>
      </c>
      <c r="AE94" s="255"/>
      <c r="AF94" s="366">
        <v>13671860</v>
      </c>
      <c r="AG94" s="774"/>
      <c r="AH94" s="495"/>
      <c r="AI94" s="495"/>
      <c r="AJ94" s="255">
        <v>18225937</v>
      </c>
      <c r="AK94" s="255"/>
      <c r="AL94" s="366">
        <v>4479483</v>
      </c>
      <c r="AM94" s="774"/>
      <c r="AN94" s="239"/>
      <c r="AO94" s="255">
        <v>12043697</v>
      </c>
      <c r="AP94" s="366">
        <v>21356238</v>
      </c>
      <c r="AQ94" s="239"/>
      <c r="AR94" s="255">
        <v>46606490</v>
      </c>
      <c r="AS94" s="366">
        <v>82298271</v>
      </c>
      <c r="AT94" s="255">
        <v>1853043</v>
      </c>
      <c r="AU94" s="513">
        <v>1924714</v>
      </c>
      <c r="AV94" s="366">
        <v>2724806</v>
      </c>
      <c r="AW94" s="239"/>
      <c r="AX94" s="255">
        <v>842913</v>
      </c>
      <c r="AY94" s="364">
        <v>6</v>
      </c>
      <c r="AZ94" s="57"/>
      <c r="BA94" s="57"/>
      <c r="BB94" s="57"/>
      <c r="BC94" s="57"/>
      <c r="BD94" s="57"/>
      <c r="BE94" s="57"/>
      <c r="BF94" s="57"/>
      <c r="BG94" s="57"/>
    </row>
    <row r="95" spans="1:59" s="469" customFormat="1" ht="15.75" customHeight="1" x14ac:dyDescent="0.25">
      <c r="A95" s="444"/>
      <c r="B95" s="494" t="s">
        <v>6</v>
      </c>
      <c r="C95" s="494"/>
      <c r="D95" s="141"/>
      <c r="E95" s="141"/>
      <c r="F95" s="141"/>
      <c r="G95" s="141"/>
      <c r="H95" s="141"/>
      <c r="I95" s="141"/>
      <c r="J95" s="141"/>
      <c r="K95" s="141"/>
      <c r="L95" s="141"/>
      <c r="M95" s="141"/>
      <c r="N95" s="141"/>
      <c r="O95" s="141"/>
      <c r="P95" s="141"/>
      <c r="Q95" s="141"/>
      <c r="R95" s="141"/>
      <c r="S95" s="141"/>
      <c r="T95" s="141"/>
      <c r="U95" s="189"/>
      <c r="V95" s="213"/>
      <c r="W95" s="189"/>
      <c r="X95" s="189"/>
      <c r="Y95" s="214"/>
      <c r="Z95" s="189"/>
      <c r="AA95" s="215"/>
      <c r="AB95" s="495"/>
      <c r="AC95" s="495"/>
      <c r="AD95" s="495">
        <v>3140801</v>
      </c>
      <c r="AE95" s="495"/>
      <c r="AF95" s="535">
        <v>4168042</v>
      </c>
      <c r="AG95" s="775"/>
      <c r="AH95" s="495"/>
      <c r="AI95" s="495"/>
      <c r="AJ95" s="495">
        <v>1589340</v>
      </c>
      <c r="AK95" s="495"/>
      <c r="AL95" s="535">
        <v>1698082</v>
      </c>
      <c r="AM95" s="775"/>
      <c r="AN95" s="538"/>
      <c r="AO95" s="495">
        <v>6670315</v>
      </c>
      <c r="AP95" s="535">
        <v>7879156</v>
      </c>
      <c r="AQ95" s="538"/>
      <c r="AR95" s="495">
        <v>17684318</v>
      </c>
      <c r="AS95" s="535">
        <v>15264242</v>
      </c>
      <c r="AT95" s="495">
        <v>0</v>
      </c>
      <c r="AU95" s="495">
        <v>2255311</v>
      </c>
      <c r="AV95" s="535">
        <v>782467</v>
      </c>
      <c r="AW95" s="538"/>
      <c r="AX95" s="495">
        <v>224151</v>
      </c>
      <c r="AY95" s="539">
        <v>515</v>
      </c>
      <c r="AZ95" s="275"/>
      <c r="BA95" s="275"/>
      <c r="BB95" s="275"/>
      <c r="BC95" s="275"/>
      <c r="BD95" s="275"/>
      <c r="BE95" s="275"/>
      <c r="BF95" s="275"/>
      <c r="BG95" s="275"/>
    </row>
    <row r="96" spans="1:59" s="469" customFormat="1" ht="15.75" x14ac:dyDescent="0.25">
      <c r="A96" s="444"/>
      <c r="B96" s="494" t="s">
        <v>8</v>
      </c>
      <c r="C96" s="494"/>
      <c r="D96" s="141"/>
      <c r="E96" s="141"/>
      <c r="F96" s="141"/>
      <c r="G96" s="141"/>
      <c r="H96" s="141"/>
      <c r="I96" s="141"/>
      <c r="J96" s="141"/>
      <c r="K96" s="141"/>
      <c r="L96" s="141"/>
      <c r="M96" s="141"/>
      <c r="N96" s="141"/>
      <c r="O96" s="141"/>
      <c r="P96" s="141"/>
      <c r="Q96" s="141"/>
      <c r="R96" s="141"/>
      <c r="S96" s="141"/>
      <c r="T96" s="141"/>
      <c r="U96" s="189"/>
      <c r="V96" s="213"/>
      <c r="W96" s="189"/>
      <c r="X96" s="189"/>
      <c r="Y96" s="214"/>
      <c r="Z96" s="189"/>
      <c r="AA96" s="215"/>
      <c r="AB96" s="495"/>
      <c r="AC96" s="495"/>
      <c r="AD96" s="495">
        <v>2810027</v>
      </c>
      <c r="AE96" s="495"/>
      <c r="AF96" s="535">
        <v>3444628</v>
      </c>
      <c r="AG96" s="775"/>
      <c r="AH96" s="495"/>
      <c r="AI96" s="495"/>
      <c r="AJ96" s="495">
        <v>327427</v>
      </c>
      <c r="AK96" s="495"/>
      <c r="AL96" s="535">
        <v>357419</v>
      </c>
      <c r="AM96" s="775"/>
      <c r="AN96" s="538"/>
      <c r="AO96" s="495">
        <v>5525130</v>
      </c>
      <c r="AP96" s="535">
        <v>4417947</v>
      </c>
      <c r="AQ96" s="538"/>
      <c r="AR96" s="495">
        <v>12004574</v>
      </c>
      <c r="AS96" s="535">
        <v>12989378</v>
      </c>
      <c r="AT96" s="495">
        <v>26402</v>
      </c>
      <c r="AU96" s="495">
        <v>240947</v>
      </c>
      <c r="AV96" s="535">
        <v>175191</v>
      </c>
      <c r="AW96" s="538"/>
      <c r="AX96" s="495">
        <v>522681</v>
      </c>
      <c r="AY96" s="539" t="s">
        <v>26</v>
      </c>
      <c r="AZ96" s="275"/>
      <c r="BA96" s="275"/>
      <c r="BB96" s="275"/>
      <c r="BC96" s="275"/>
      <c r="BD96" s="275"/>
      <c r="BE96" s="275"/>
      <c r="BF96" s="275"/>
      <c r="BG96" s="275"/>
    </row>
    <row r="97" spans="1:61" s="469" customFormat="1" ht="15.75" x14ac:dyDescent="0.25">
      <c r="A97" s="444"/>
      <c r="B97" s="494" t="s">
        <v>7</v>
      </c>
      <c r="C97" s="494"/>
      <c r="D97" s="141"/>
      <c r="E97" s="141"/>
      <c r="F97" s="141"/>
      <c r="G97" s="141"/>
      <c r="H97" s="141"/>
      <c r="I97" s="141"/>
      <c r="J97" s="141"/>
      <c r="K97" s="141"/>
      <c r="L97" s="141"/>
      <c r="M97" s="141"/>
      <c r="N97" s="141"/>
      <c r="O97" s="141"/>
      <c r="P97" s="141"/>
      <c r="Q97" s="141"/>
      <c r="R97" s="141"/>
      <c r="S97" s="141"/>
      <c r="T97" s="141"/>
      <c r="U97" s="189"/>
      <c r="V97" s="213"/>
      <c r="W97" s="189"/>
      <c r="X97" s="189"/>
      <c r="Y97" s="214"/>
      <c r="Z97" s="189"/>
      <c r="AA97" s="215"/>
      <c r="AB97" s="495">
        <v>2094679</v>
      </c>
      <c r="AC97" s="495"/>
      <c r="AD97" s="495"/>
      <c r="AE97" s="495"/>
      <c r="AF97" s="535">
        <v>2566386</v>
      </c>
      <c r="AG97" s="775"/>
      <c r="AH97" s="495"/>
      <c r="AI97" s="495"/>
      <c r="AJ97" s="495"/>
      <c r="AK97" s="495"/>
      <c r="AL97" s="535">
        <v>2340899</v>
      </c>
      <c r="AM97" s="775"/>
      <c r="AN97" s="538"/>
      <c r="AO97" s="495"/>
      <c r="AP97" s="535">
        <v>608530</v>
      </c>
      <c r="AQ97" s="538"/>
      <c r="AR97" s="495"/>
      <c r="AS97" s="535">
        <v>9406084</v>
      </c>
      <c r="AT97" s="495">
        <v>271348</v>
      </c>
      <c r="AU97" s="495"/>
      <c r="AV97" s="535">
        <v>192091</v>
      </c>
      <c r="AW97" s="538"/>
      <c r="AX97" s="495"/>
      <c r="AY97" s="539" t="s">
        <v>26</v>
      </c>
      <c r="AZ97" s="275"/>
      <c r="BA97" s="275"/>
      <c r="BB97" s="275"/>
      <c r="BC97" s="275"/>
      <c r="BD97" s="275"/>
      <c r="BE97" s="275"/>
      <c r="BF97" s="275"/>
      <c r="BG97" s="275"/>
    </row>
    <row r="98" spans="1:61" ht="15.75" x14ac:dyDescent="0.25">
      <c r="A98" s="85"/>
      <c r="B98" s="494" t="s">
        <v>800</v>
      </c>
      <c r="C98" s="494"/>
      <c r="D98" s="141"/>
      <c r="E98" s="141"/>
      <c r="F98" s="141"/>
      <c r="G98" s="141"/>
      <c r="H98" s="141"/>
      <c r="I98" s="141"/>
      <c r="J98" s="141"/>
      <c r="K98" s="141"/>
      <c r="L98" s="141"/>
      <c r="M98" s="141"/>
      <c r="N98" s="141"/>
      <c r="O98" s="141"/>
      <c r="P98" s="141"/>
      <c r="Q98" s="141"/>
      <c r="R98" s="141"/>
      <c r="S98" s="141"/>
      <c r="T98" s="141"/>
      <c r="U98" s="189"/>
      <c r="V98" s="213"/>
      <c r="W98" s="189"/>
      <c r="X98" s="189"/>
      <c r="Y98" s="214"/>
      <c r="Z98" s="189"/>
      <c r="AA98" s="215"/>
      <c r="AB98" s="239"/>
      <c r="AC98" s="239"/>
      <c r="AD98" s="255">
        <v>289189</v>
      </c>
      <c r="AE98" s="255"/>
      <c r="AF98" s="366"/>
      <c r="AG98" s="774"/>
      <c r="AH98" s="255">
        <v>15884627</v>
      </c>
      <c r="AI98" s="255"/>
      <c r="AJ98" s="255">
        <v>140574</v>
      </c>
      <c r="AK98" s="255"/>
      <c r="AL98" s="366"/>
      <c r="AM98" s="774"/>
      <c r="AN98" s="239"/>
      <c r="AO98" s="255">
        <v>871198</v>
      </c>
      <c r="AP98" s="366"/>
      <c r="AQ98" s="239"/>
      <c r="AR98" s="255">
        <v>7783583</v>
      </c>
      <c r="AS98" s="366"/>
      <c r="AT98" s="255">
        <v>34013</v>
      </c>
      <c r="AU98" s="255">
        <v>1619</v>
      </c>
      <c r="AV98" s="366"/>
      <c r="AW98" s="239"/>
      <c r="AX98" s="255">
        <v>983341</v>
      </c>
      <c r="AY98" s="364"/>
      <c r="AZ98" s="57"/>
      <c r="BA98" s="57"/>
      <c r="BB98" s="57"/>
      <c r="BC98" s="57"/>
      <c r="BD98" s="57"/>
      <c r="BE98" s="57"/>
      <c r="BF98" s="57"/>
      <c r="BG98" s="57"/>
    </row>
    <row r="99" spans="1:61" s="412" customFormat="1" ht="36" x14ac:dyDescent="0.25">
      <c r="A99" s="390">
        <v>11</v>
      </c>
      <c r="B99" s="409" t="s">
        <v>134</v>
      </c>
      <c r="C99" s="409"/>
      <c r="D99" s="409" t="s">
        <v>603</v>
      </c>
      <c r="E99" s="409" t="s">
        <v>569</v>
      </c>
      <c r="F99" s="409" t="s">
        <v>597</v>
      </c>
      <c r="G99" s="409" t="s">
        <v>306</v>
      </c>
      <c r="H99" s="409" t="s">
        <v>571</v>
      </c>
      <c r="I99" s="409" t="s">
        <v>597</v>
      </c>
      <c r="J99" s="409" t="s">
        <v>601</v>
      </c>
      <c r="K99" s="409" t="s">
        <v>604</v>
      </c>
      <c r="L99" s="409" t="s">
        <v>350</v>
      </c>
      <c r="M99" s="409" t="s">
        <v>350</v>
      </c>
      <c r="N99" s="409"/>
      <c r="O99" s="409" t="s">
        <v>285</v>
      </c>
      <c r="P99" s="409" t="s">
        <v>581</v>
      </c>
      <c r="Q99" s="409"/>
      <c r="R99" s="409" t="s">
        <v>578</v>
      </c>
      <c r="S99" s="409"/>
      <c r="T99" s="409" t="s">
        <v>941</v>
      </c>
      <c r="U99" s="393" t="s">
        <v>794</v>
      </c>
      <c r="V99" s="394"/>
      <c r="W99" s="393" t="s">
        <v>794</v>
      </c>
      <c r="X99" s="393"/>
      <c r="Y99" s="395"/>
      <c r="Z99" s="393"/>
      <c r="AA99" s="396"/>
      <c r="AB99" s="410"/>
      <c r="AC99" s="410"/>
      <c r="AD99" s="410"/>
      <c r="AE99" s="410"/>
      <c r="AF99" s="410"/>
      <c r="AG99" s="410"/>
      <c r="AH99" s="410"/>
      <c r="AI99" s="410"/>
      <c r="AJ99" s="410"/>
      <c r="AK99" s="410"/>
      <c r="AL99" s="410"/>
      <c r="AM99" s="410"/>
      <c r="AN99" s="410"/>
      <c r="AO99" s="410"/>
      <c r="AP99" s="410"/>
      <c r="AQ99" s="410"/>
      <c r="AR99" s="512"/>
      <c r="AS99" s="410"/>
      <c r="AT99" s="410"/>
      <c r="AU99" s="512"/>
      <c r="AV99" s="410"/>
      <c r="AW99" s="410"/>
      <c r="AX99" s="410"/>
      <c r="AY99" s="410"/>
      <c r="AZ99" s="410"/>
      <c r="BA99" s="410"/>
      <c r="BB99" s="410"/>
      <c r="BC99" s="410"/>
      <c r="BD99" s="410"/>
      <c r="BE99" s="410"/>
      <c r="BF99" s="410"/>
      <c r="BG99" s="410"/>
    </row>
    <row r="100" spans="1:61" ht="84" x14ac:dyDescent="0.25">
      <c r="A100" s="85">
        <v>12</v>
      </c>
      <c r="B100" s="141" t="s">
        <v>135</v>
      </c>
      <c r="C100" s="141"/>
      <c r="D100" s="141" t="s">
        <v>832</v>
      </c>
      <c r="E100" s="141" t="s">
        <v>569</v>
      </c>
      <c r="F100" s="141" t="s">
        <v>597</v>
      </c>
      <c r="G100" s="141" t="s">
        <v>306</v>
      </c>
      <c r="H100" s="141" t="s">
        <v>571</v>
      </c>
      <c r="I100" s="141" t="s">
        <v>597</v>
      </c>
      <c r="J100" s="141" t="s">
        <v>885</v>
      </c>
      <c r="K100" s="141" t="s">
        <v>605</v>
      </c>
      <c r="L100" s="141" t="s">
        <v>350</v>
      </c>
      <c r="M100" s="141" t="s">
        <v>350</v>
      </c>
      <c r="N100" s="141"/>
      <c r="O100" s="141" t="s">
        <v>285</v>
      </c>
      <c r="P100" s="141" t="s">
        <v>581</v>
      </c>
      <c r="Q100" s="141"/>
      <c r="R100" s="141" t="s">
        <v>578</v>
      </c>
      <c r="S100" s="141"/>
      <c r="T100" s="141" t="s">
        <v>942</v>
      </c>
      <c r="U100" s="189" t="s">
        <v>794</v>
      </c>
      <c r="V100" s="213" t="s">
        <v>794</v>
      </c>
      <c r="W100" s="189"/>
      <c r="X100" s="189"/>
      <c r="Y100" s="214"/>
      <c r="Z100" s="189"/>
      <c r="AA100" s="215"/>
      <c r="AB100" s="824" t="s">
        <v>3</v>
      </c>
      <c r="AC100" s="824"/>
      <c r="AD100" s="824"/>
      <c r="AE100" s="824"/>
      <c r="AF100" s="824"/>
      <c r="AG100" s="768"/>
      <c r="AH100" s="823" t="s">
        <v>4</v>
      </c>
      <c r="AI100" s="824"/>
      <c r="AJ100" s="824"/>
      <c r="AK100" s="824"/>
      <c r="AL100" s="825"/>
      <c r="AM100" s="768"/>
      <c r="AN100" s="824" t="s">
        <v>5</v>
      </c>
      <c r="AO100" s="824"/>
      <c r="AP100" s="824"/>
      <c r="AQ100" s="823" t="s">
        <v>251</v>
      </c>
      <c r="AR100" s="824"/>
      <c r="AS100" s="825"/>
      <c r="AT100" s="824" t="s">
        <v>252</v>
      </c>
      <c r="AU100" s="824"/>
      <c r="AV100" s="824"/>
      <c r="AW100" s="823" t="s">
        <v>6</v>
      </c>
      <c r="AX100" s="824"/>
      <c r="AY100" s="825"/>
      <c r="AZ100" s="824" t="s">
        <v>8</v>
      </c>
      <c r="BA100" s="824"/>
      <c r="BB100" s="825"/>
      <c r="BC100" s="824" t="s">
        <v>7</v>
      </c>
      <c r="BD100" s="824"/>
      <c r="BE100" s="825"/>
      <c r="BF100" s="823" t="s">
        <v>799</v>
      </c>
      <c r="BG100" s="824"/>
      <c r="BH100" s="825"/>
    </row>
    <row r="101" spans="1:61" ht="15.75" x14ac:dyDescent="0.25">
      <c r="A101" s="85"/>
      <c r="B101" s="141"/>
      <c r="C101" s="141"/>
      <c r="D101" s="141"/>
      <c r="E101" s="141"/>
      <c r="F101" s="141"/>
      <c r="G101" s="141"/>
      <c r="H101" s="141"/>
      <c r="I101" s="141"/>
      <c r="J101" s="141"/>
      <c r="K101" s="141"/>
      <c r="L101" s="141"/>
      <c r="M101" s="141"/>
      <c r="N101" s="141"/>
      <c r="O101" s="141"/>
      <c r="P101" s="141"/>
      <c r="Q101" s="141"/>
      <c r="R101" s="141"/>
      <c r="S101" s="141"/>
      <c r="T101" s="141"/>
      <c r="U101" s="189"/>
      <c r="V101" s="213"/>
      <c r="W101" s="189"/>
      <c r="X101" s="189"/>
      <c r="Y101" s="214"/>
      <c r="Z101" s="189"/>
      <c r="AA101" s="215"/>
      <c r="AB101" s="704">
        <v>2011</v>
      </c>
      <c r="AC101" s="704"/>
      <c r="AD101" s="704">
        <v>2014</v>
      </c>
      <c r="AE101" s="704"/>
      <c r="AF101" s="705">
        <v>2017</v>
      </c>
      <c r="AG101" s="704"/>
      <c r="AH101" s="704">
        <v>2011</v>
      </c>
      <c r="AI101" s="704"/>
      <c r="AJ101" s="704">
        <v>2014</v>
      </c>
      <c r="AK101" s="704"/>
      <c r="AL101" s="705">
        <v>2017</v>
      </c>
      <c r="AM101" s="704"/>
      <c r="AN101" s="704">
        <v>2011</v>
      </c>
      <c r="AO101" s="704">
        <v>2014</v>
      </c>
      <c r="AP101" s="705">
        <v>2017</v>
      </c>
      <c r="AQ101" s="704">
        <v>2011</v>
      </c>
      <c r="AR101" s="704">
        <v>2014</v>
      </c>
      <c r="AS101" s="705">
        <v>2017</v>
      </c>
      <c r="AT101" s="704">
        <v>2011</v>
      </c>
      <c r="AU101" s="704">
        <v>2014</v>
      </c>
      <c r="AV101" s="705">
        <v>2017</v>
      </c>
      <c r="AW101" s="704">
        <v>2011</v>
      </c>
      <c r="AX101" s="704">
        <v>2014</v>
      </c>
      <c r="AY101" s="705">
        <v>2017</v>
      </c>
      <c r="AZ101" s="704">
        <v>2011</v>
      </c>
      <c r="BA101" s="704">
        <v>2014</v>
      </c>
      <c r="BB101" s="705">
        <v>2017</v>
      </c>
      <c r="BC101" s="704">
        <v>2011</v>
      </c>
      <c r="BD101" s="704">
        <v>2014</v>
      </c>
      <c r="BE101" s="705">
        <v>2017</v>
      </c>
      <c r="BF101" s="704">
        <v>2011</v>
      </c>
      <c r="BG101" s="704">
        <v>2014</v>
      </c>
      <c r="BH101" s="705">
        <v>2017</v>
      </c>
    </row>
    <row r="102" spans="1:61" s="3" customFormat="1" ht="16.5" customHeight="1" x14ac:dyDescent="0.2">
      <c r="A102" s="85"/>
      <c r="B102" s="141"/>
      <c r="C102" s="141"/>
      <c r="D102" s="141"/>
      <c r="E102" s="141"/>
      <c r="F102" s="141"/>
      <c r="G102" s="141"/>
      <c r="H102" s="141"/>
      <c r="I102" s="141"/>
      <c r="J102" s="141"/>
      <c r="K102" s="141"/>
      <c r="L102" s="141"/>
      <c r="M102" s="141"/>
      <c r="N102" s="141"/>
      <c r="O102" s="141"/>
      <c r="P102" s="141"/>
      <c r="Q102" s="141"/>
      <c r="R102" s="141"/>
      <c r="S102" s="141"/>
      <c r="T102" s="141"/>
      <c r="U102" s="356"/>
      <c r="V102" s="357"/>
      <c r="W102" s="356"/>
      <c r="X102" s="356"/>
      <c r="Y102" s="358"/>
      <c r="Z102" s="356"/>
      <c r="AA102" s="359"/>
      <c r="AB102" s="342"/>
      <c r="AC102" s="342"/>
      <c r="AD102" s="342">
        <v>2331</v>
      </c>
      <c r="AE102" s="342"/>
      <c r="AF102" s="360">
        <v>154662</v>
      </c>
      <c r="AG102" s="342"/>
      <c r="AH102" s="342"/>
      <c r="AI102" s="342"/>
      <c r="AJ102" s="342"/>
      <c r="AK102" s="342"/>
      <c r="AL102" s="360">
        <v>35000</v>
      </c>
      <c r="AM102" s="342"/>
      <c r="AN102" s="342">
        <v>7770</v>
      </c>
      <c r="AO102" s="342">
        <v>7785</v>
      </c>
      <c r="AP102" s="360">
        <v>7905</v>
      </c>
      <c r="AQ102" s="343">
        <v>45000</v>
      </c>
      <c r="AR102" s="343">
        <v>45000</v>
      </c>
      <c r="AS102" s="368">
        <v>45000</v>
      </c>
      <c r="AT102" s="342"/>
      <c r="AU102" s="343">
        <v>7531</v>
      </c>
      <c r="AV102" s="361">
        <v>21801</v>
      </c>
      <c r="AW102" s="342"/>
      <c r="AX102" s="342">
        <v>5000</v>
      </c>
      <c r="AY102" s="362">
        <v>5000</v>
      </c>
      <c r="AZ102" s="342"/>
      <c r="BA102" s="342"/>
      <c r="BB102" s="362"/>
      <c r="BC102" s="342"/>
      <c r="BD102" s="342"/>
      <c r="BE102" s="362"/>
      <c r="BF102" s="342"/>
      <c r="BG102" s="342"/>
      <c r="BH102" s="360"/>
    </row>
    <row r="103" spans="1:61" s="412" customFormat="1" ht="48" x14ac:dyDescent="0.25">
      <c r="A103" s="390" t="s">
        <v>973</v>
      </c>
      <c r="B103" s="409" t="s">
        <v>136</v>
      </c>
      <c r="C103" s="409"/>
      <c r="D103" s="409" t="s">
        <v>606</v>
      </c>
      <c r="E103" s="409" t="s">
        <v>569</v>
      </c>
      <c r="F103" s="409" t="s">
        <v>597</v>
      </c>
      <c r="G103" s="409" t="s">
        <v>306</v>
      </c>
      <c r="H103" s="409" t="s">
        <v>571</v>
      </c>
      <c r="I103" s="409" t="s">
        <v>597</v>
      </c>
      <c r="J103" s="409" t="s">
        <v>601</v>
      </c>
      <c r="K103" s="409" t="s">
        <v>607</v>
      </c>
      <c r="L103" s="409" t="s">
        <v>350</v>
      </c>
      <c r="M103" s="409" t="s">
        <v>350</v>
      </c>
      <c r="N103" s="409"/>
      <c r="O103" s="409" t="s">
        <v>285</v>
      </c>
      <c r="P103" s="409" t="s">
        <v>581</v>
      </c>
      <c r="Q103" s="409"/>
      <c r="R103" s="409" t="s">
        <v>578</v>
      </c>
      <c r="S103" s="409"/>
      <c r="T103" s="409" t="s">
        <v>944</v>
      </c>
      <c r="U103" s="393" t="s">
        <v>794</v>
      </c>
      <c r="V103" s="394"/>
      <c r="W103" s="393" t="s">
        <v>794</v>
      </c>
      <c r="X103" s="393"/>
      <c r="Y103" s="395"/>
      <c r="Z103" s="393"/>
      <c r="AA103" s="396"/>
      <c r="AB103" s="410"/>
      <c r="AC103" s="410"/>
      <c r="AD103" s="410"/>
      <c r="AE103" s="410"/>
      <c r="AF103" s="411"/>
      <c r="AG103" s="410"/>
      <c r="AH103" s="410"/>
      <c r="AI103" s="410"/>
      <c r="AJ103" s="410"/>
      <c r="AK103" s="410"/>
      <c r="AL103" s="411"/>
      <c r="AM103" s="410"/>
      <c r="AN103" s="410"/>
      <c r="AO103" s="410"/>
      <c r="AP103" s="411"/>
      <c r="AQ103" s="410"/>
      <c r="AR103" s="410"/>
      <c r="AS103" s="411"/>
      <c r="AT103" s="410"/>
      <c r="AU103" s="410"/>
      <c r="AV103" s="411"/>
      <c r="AW103" s="410"/>
      <c r="AX103" s="410"/>
      <c r="AY103" s="411"/>
      <c r="AZ103" s="410"/>
      <c r="BA103" s="410"/>
      <c r="BB103" s="411"/>
      <c r="BC103" s="410"/>
      <c r="BD103" s="410"/>
      <c r="BE103" s="411"/>
      <c r="BF103" s="410"/>
      <c r="BG103" s="410"/>
      <c r="BH103" s="411"/>
    </row>
    <row r="104" spans="1:61" s="370" customFormat="1" ht="120" x14ac:dyDescent="0.25">
      <c r="A104" s="290">
        <v>14</v>
      </c>
      <c r="B104" s="141" t="s">
        <v>137</v>
      </c>
      <c r="C104" s="141"/>
      <c r="D104" s="369" t="s">
        <v>608</v>
      </c>
      <c r="E104" s="369" t="s">
        <v>569</v>
      </c>
      <c r="F104" s="369" t="s">
        <v>597</v>
      </c>
      <c r="G104" s="369" t="s">
        <v>306</v>
      </c>
      <c r="H104" s="369" t="s">
        <v>571</v>
      </c>
      <c r="I104" s="369" t="s">
        <v>597</v>
      </c>
      <c r="J104" s="141" t="s">
        <v>885</v>
      </c>
      <c r="K104" s="369" t="s">
        <v>609</v>
      </c>
      <c r="L104" s="369" t="s">
        <v>350</v>
      </c>
      <c r="M104" s="369" t="s">
        <v>350</v>
      </c>
      <c r="N104" s="369"/>
      <c r="O104" s="369" t="s">
        <v>285</v>
      </c>
      <c r="P104" s="369" t="s">
        <v>581</v>
      </c>
      <c r="Q104" s="369"/>
      <c r="R104" s="369" t="s">
        <v>578</v>
      </c>
      <c r="S104" s="369"/>
      <c r="T104" s="460" t="s">
        <v>945</v>
      </c>
      <c r="U104" s="189" t="s">
        <v>794</v>
      </c>
      <c r="V104" s="213" t="s">
        <v>794</v>
      </c>
      <c r="W104" s="189"/>
      <c r="X104" s="189"/>
      <c r="Y104" s="214"/>
      <c r="Z104" s="189"/>
      <c r="AA104" s="215"/>
      <c r="AB104" s="315"/>
      <c r="AC104" s="315"/>
      <c r="AD104" s="315"/>
      <c r="AE104" s="315"/>
      <c r="AF104" s="679">
        <v>2011</v>
      </c>
      <c r="AG104" s="677"/>
      <c r="AH104" s="315"/>
      <c r="AI104" s="315"/>
      <c r="AJ104" s="315"/>
      <c r="AK104" s="315"/>
      <c r="AL104" s="679">
        <v>2011</v>
      </c>
      <c r="AM104" s="677"/>
      <c r="AN104" s="315"/>
      <c r="AO104" s="315"/>
      <c r="AP104" s="679">
        <v>2011</v>
      </c>
      <c r="AQ104" s="315"/>
      <c r="AR104" s="315"/>
      <c r="AS104" s="679">
        <v>2011</v>
      </c>
      <c r="AT104" s="315"/>
      <c r="AU104" s="315"/>
      <c r="AV104" s="679">
        <v>2011</v>
      </c>
      <c r="AW104" s="315"/>
      <c r="AX104" s="315"/>
      <c r="AY104" s="679">
        <v>2011</v>
      </c>
      <c r="AZ104" s="315"/>
      <c r="BA104" s="315"/>
      <c r="BB104" s="679">
        <v>2011</v>
      </c>
      <c r="BC104" s="315"/>
      <c r="BD104" s="315"/>
      <c r="BE104" s="679">
        <v>2011</v>
      </c>
      <c r="BF104" s="315"/>
      <c r="BG104" s="315"/>
      <c r="BH104" s="679">
        <v>2015</v>
      </c>
    </row>
    <row r="105" spans="1:61" s="370" customFormat="1" ht="15.75" x14ac:dyDescent="0.25">
      <c r="A105" s="290"/>
      <c r="B105" s="369"/>
      <c r="C105" s="369"/>
      <c r="D105" s="369"/>
      <c r="E105" s="369"/>
      <c r="F105" s="369"/>
      <c r="G105" s="369"/>
      <c r="H105" s="369"/>
      <c r="I105" s="369"/>
      <c r="J105" s="369"/>
      <c r="K105" s="369"/>
      <c r="L105" s="369"/>
      <c r="M105" s="369"/>
      <c r="N105" s="369"/>
      <c r="O105" s="369"/>
      <c r="P105" s="369"/>
      <c r="Q105" s="369"/>
      <c r="R105" s="369"/>
      <c r="S105" s="369"/>
      <c r="T105" s="369"/>
      <c r="U105" s="189"/>
      <c r="V105" s="213"/>
      <c r="W105" s="189"/>
      <c r="X105" s="189"/>
      <c r="Y105" s="214"/>
      <c r="Z105" s="189"/>
      <c r="AA105" s="215"/>
      <c r="AB105" s="341"/>
      <c r="AC105" s="341"/>
      <c r="AD105" s="372"/>
      <c r="AE105" s="372"/>
      <c r="AF105" s="373">
        <v>17310885</v>
      </c>
      <c r="AG105" s="776"/>
      <c r="AH105" s="372"/>
      <c r="AI105" s="372"/>
      <c r="AJ105" s="372"/>
      <c r="AK105" s="372"/>
      <c r="AL105" s="373">
        <v>3750306</v>
      </c>
      <c r="AM105" s="776"/>
      <c r="AN105" s="372"/>
      <c r="AO105" s="372"/>
      <c r="AP105" s="373">
        <v>3792024</v>
      </c>
      <c r="AQ105" s="372"/>
      <c r="AR105" s="372"/>
      <c r="AS105" s="373">
        <v>1651893</v>
      </c>
      <c r="AT105" s="372"/>
      <c r="AU105" s="372"/>
      <c r="AV105" s="373">
        <v>2158878</v>
      </c>
      <c r="AW105" s="372"/>
      <c r="AX105" s="372"/>
      <c r="AY105" s="373">
        <v>1046073</v>
      </c>
      <c r="AZ105" s="372"/>
      <c r="BA105" s="372"/>
      <c r="BB105" s="373">
        <v>1580890</v>
      </c>
      <c r="BC105" s="372"/>
      <c r="BD105" s="372"/>
      <c r="BE105" s="374" t="s">
        <v>26</v>
      </c>
      <c r="BF105" s="372"/>
      <c r="BG105" s="372"/>
      <c r="BH105" s="374" t="s">
        <v>829</v>
      </c>
    </row>
    <row r="106" spans="1:61" ht="15.75" x14ac:dyDescent="0.25">
      <c r="A106" s="85"/>
      <c r="B106" s="141"/>
      <c r="C106" s="141"/>
      <c r="D106" s="141"/>
      <c r="E106" s="141"/>
      <c r="F106" s="141"/>
      <c r="G106" s="141"/>
      <c r="H106" s="141"/>
      <c r="I106" s="141"/>
      <c r="J106" s="141"/>
      <c r="K106" s="141"/>
      <c r="L106" s="141"/>
      <c r="M106" s="141"/>
      <c r="N106" s="141"/>
      <c r="O106" s="141"/>
      <c r="P106" s="141"/>
      <c r="Q106" s="141"/>
      <c r="R106" s="141"/>
      <c r="S106" s="141"/>
      <c r="T106" s="141"/>
      <c r="U106" s="189"/>
      <c r="V106" s="213"/>
      <c r="W106" s="189"/>
      <c r="X106" s="189"/>
      <c r="Y106" s="214"/>
      <c r="Z106" s="189"/>
      <c r="AA106" s="215"/>
      <c r="AF106" s="62"/>
      <c r="AG106" s="57"/>
      <c r="AL106" s="58"/>
      <c r="AM106" s="57"/>
      <c r="AP106" s="62"/>
      <c r="AS106" s="58"/>
      <c r="AV106" s="62"/>
      <c r="AY106" s="58"/>
      <c r="BB106" s="62"/>
      <c r="BE106" s="58"/>
      <c r="BH106" s="62"/>
    </row>
    <row r="107" spans="1:61" ht="72" x14ac:dyDescent="0.25">
      <c r="A107" s="85">
        <v>15</v>
      </c>
      <c r="B107" s="727" t="s">
        <v>138</v>
      </c>
      <c r="C107" s="727"/>
      <c r="D107" s="141" t="s">
        <v>610</v>
      </c>
      <c r="E107" s="141" t="s">
        <v>569</v>
      </c>
      <c r="F107" s="141" t="s">
        <v>611</v>
      </c>
      <c r="G107" s="141" t="s">
        <v>279</v>
      </c>
      <c r="H107" s="141" t="s">
        <v>571</v>
      </c>
      <c r="I107" s="141" t="s">
        <v>611</v>
      </c>
      <c r="J107" s="141" t="s">
        <v>885</v>
      </c>
      <c r="K107" s="141" t="s">
        <v>906</v>
      </c>
      <c r="L107" s="141" t="s">
        <v>350</v>
      </c>
      <c r="M107" s="141" t="s">
        <v>350</v>
      </c>
      <c r="N107" s="141"/>
      <c r="O107" s="141" t="s">
        <v>612</v>
      </c>
      <c r="P107" s="141" t="s">
        <v>581</v>
      </c>
      <c r="Q107" s="141"/>
      <c r="R107" s="141" t="s">
        <v>578</v>
      </c>
      <c r="S107" s="141"/>
      <c r="T107" s="141" t="s">
        <v>943</v>
      </c>
      <c r="U107" s="189" t="s">
        <v>794</v>
      </c>
      <c r="V107" s="213" t="s">
        <v>794</v>
      </c>
      <c r="W107" s="189"/>
      <c r="X107" s="189"/>
      <c r="Y107" s="214"/>
      <c r="Z107" s="189"/>
      <c r="AA107" s="215"/>
      <c r="AB107" s="677">
        <v>2004</v>
      </c>
      <c r="AC107" s="677"/>
      <c r="AD107" s="677">
        <v>2011</v>
      </c>
      <c r="AE107" s="677"/>
      <c r="AF107" s="679">
        <v>2012</v>
      </c>
      <c r="AG107" s="677"/>
      <c r="AH107" s="677">
        <v>2004</v>
      </c>
      <c r="AI107" s="677"/>
      <c r="AJ107" s="677">
        <v>2011</v>
      </c>
      <c r="AK107" s="677"/>
      <c r="AL107" s="679">
        <v>2012</v>
      </c>
      <c r="AM107" s="677"/>
      <c r="AN107" s="677">
        <v>2004</v>
      </c>
      <c r="AO107" s="677">
        <v>2011</v>
      </c>
      <c r="AP107" s="679">
        <v>2012</v>
      </c>
      <c r="AQ107" s="677">
        <v>2004</v>
      </c>
      <c r="AR107" s="677">
        <v>2011</v>
      </c>
      <c r="AS107" s="679">
        <v>2012</v>
      </c>
      <c r="AT107" s="677">
        <v>2004</v>
      </c>
      <c r="AU107" s="677">
        <v>2011</v>
      </c>
      <c r="AV107" s="679">
        <v>2012</v>
      </c>
      <c r="AW107" s="677">
        <v>2004</v>
      </c>
      <c r="AX107" s="677">
        <v>2011</v>
      </c>
      <c r="AY107" s="679">
        <v>2012</v>
      </c>
      <c r="AZ107" s="677">
        <v>2004</v>
      </c>
      <c r="BA107" s="677">
        <v>2011</v>
      </c>
      <c r="BB107" s="679">
        <v>2012</v>
      </c>
      <c r="BC107" s="677">
        <v>2004</v>
      </c>
      <c r="BD107" s="677">
        <v>2011</v>
      </c>
      <c r="BE107" s="679">
        <v>2012</v>
      </c>
      <c r="BF107" s="677">
        <v>2004</v>
      </c>
      <c r="BG107" s="677">
        <v>2011</v>
      </c>
      <c r="BH107" s="679">
        <v>2012</v>
      </c>
    </row>
    <row r="108" spans="1:61" s="510" customFormat="1" ht="15.75" x14ac:dyDescent="0.25">
      <c r="A108" s="500"/>
      <c r="B108" s="501"/>
      <c r="C108" s="501"/>
      <c r="D108" s="501"/>
      <c r="E108" s="501"/>
      <c r="F108" s="501"/>
      <c r="G108" s="501"/>
      <c r="H108" s="501"/>
      <c r="I108" s="501"/>
      <c r="J108" s="501"/>
      <c r="K108" s="501"/>
      <c r="L108" s="501"/>
      <c r="M108" s="501"/>
      <c r="N108" s="501"/>
      <c r="O108" s="501"/>
      <c r="P108" s="501"/>
      <c r="Q108" s="501"/>
      <c r="R108" s="501"/>
      <c r="S108" s="501"/>
      <c r="T108" s="501"/>
      <c r="U108" s="502"/>
      <c r="V108" s="503"/>
      <c r="W108" s="502"/>
      <c r="X108" s="502"/>
      <c r="Y108" s="504"/>
      <c r="Z108" s="502"/>
      <c r="AA108" s="505"/>
      <c r="AB108" s="506">
        <v>5.6</v>
      </c>
      <c r="AC108" s="506"/>
      <c r="AD108" s="506">
        <v>5.7</v>
      </c>
      <c r="AE108" s="506"/>
      <c r="AF108" s="508">
        <v>6.4</v>
      </c>
      <c r="AG108" s="506"/>
      <c r="AH108" s="506">
        <v>8.1</v>
      </c>
      <c r="AI108" s="506"/>
      <c r="AJ108" s="506">
        <v>7.51</v>
      </c>
      <c r="AK108" s="506"/>
      <c r="AL108" s="508">
        <v>5.7</v>
      </c>
      <c r="AM108" s="506"/>
      <c r="AN108" s="506">
        <v>6.4</v>
      </c>
      <c r="AO108" s="506">
        <v>5.88</v>
      </c>
      <c r="AP108" s="508">
        <v>5.5</v>
      </c>
      <c r="AQ108" s="506">
        <v>5.6</v>
      </c>
      <c r="AR108" s="506">
        <v>7.3</v>
      </c>
      <c r="AS108" s="507"/>
      <c r="AT108" s="506">
        <v>8.3000000000000007</v>
      </c>
      <c r="AU108" s="506">
        <v>5.5</v>
      </c>
      <c r="AV108" s="508"/>
      <c r="AW108" s="506">
        <v>4.7</v>
      </c>
      <c r="AX108" s="506">
        <v>4.6900000000000004</v>
      </c>
      <c r="AY108" s="508">
        <v>4.5</v>
      </c>
      <c r="AZ108" s="506">
        <v>3.5</v>
      </c>
      <c r="BA108" s="506">
        <v>4</v>
      </c>
      <c r="BB108" s="507"/>
      <c r="BC108" s="506">
        <v>3.8</v>
      </c>
      <c r="BD108" s="506"/>
      <c r="BE108" s="508">
        <v>2.9</v>
      </c>
      <c r="BF108" s="506">
        <v>6.3</v>
      </c>
      <c r="BG108" s="506">
        <v>5.65</v>
      </c>
      <c r="BH108" s="507"/>
      <c r="BI108" s="509"/>
    </row>
    <row r="109" spans="1:61" ht="15.75" x14ac:dyDescent="0.25">
      <c r="A109" s="85"/>
      <c r="B109" s="141"/>
      <c r="C109" s="141"/>
      <c r="D109" s="141"/>
      <c r="E109" s="141"/>
      <c r="F109" s="141"/>
      <c r="G109" s="141"/>
      <c r="H109" s="141"/>
      <c r="I109" s="141"/>
      <c r="J109" s="141"/>
      <c r="K109" s="141"/>
      <c r="L109" s="141"/>
      <c r="M109" s="141"/>
      <c r="N109" s="141"/>
      <c r="O109" s="141"/>
      <c r="P109" s="141"/>
      <c r="Q109" s="141"/>
      <c r="R109" s="141"/>
      <c r="S109" s="141"/>
      <c r="T109" s="141"/>
      <c r="U109" s="189"/>
      <c r="V109" s="213"/>
      <c r="W109" s="189"/>
      <c r="X109" s="189"/>
      <c r="Y109" s="214"/>
      <c r="Z109" s="189"/>
      <c r="AA109" s="215"/>
    </row>
    <row r="110" spans="1:61" ht="15.75" x14ac:dyDescent="0.25">
      <c r="A110" s="85"/>
      <c r="B110" s="141"/>
      <c r="C110" s="141"/>
      <c r="D110" s="141"/>
      <c r="E110" s="141"/>
      <c r="F110" s="141"/>
      <c r="G110" s="141"/>
      <c r="H110" s="141"/>
      <c r="I110" s="141"/>
      <c r="J110" s="141"/>
      <c r="K110" s="141"/>
      <c r="L110" s="141"/>
      <c r="M110" s="141"/>
      <c r="N110" s="141"/>
      <c r="O110" s="141"/>
      <c r="P110" s="141"/>
      <c r="Q110" s="141"/>
      <c r="R110" s="141"/>
      <c r="S110" s="141"/>
      <c r="T110" s="141"/>
      <c r="U110" s="189"/>
      <c r="V110" s="213"/>
      <c r="W110" s="189"/>
      <c r="X110" s="189"/>
      <c r="Y110" s="214"/>
      <c r="Z110" s="189"/>
      <c r="AA110" s="215"/>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row>
    <row r="111" spans="1:61" ht="36" x14ac:dyDescent="0.25">
      <c r="A111" s="85">
        <v>16</v>
      </c>
      <c r="B111" s="130" t="s">
        <v>139</v>
      </c>
      <c r="C111" s="130"/>
      <c r="D111" s="130" t="s">
        <v>613</v>
      </c>
      <c r="E111" s="130" t="s">
        <v>569</v>
      </c>
      <c r="F111" s="130" t="s">
        <v>611</v>
      </c>
      <c r="G111" s="130" t="s">
        <v>306</v>
      </c>
      <c r="H111" s="130" t="s">
        <v>571</v>
      </c>
      <c r="I111" s="130" t="s">
        <v>611</v>
      </c>
      <c r="J111" s="130" t="s">
        <v>614</v>
      </c>
      <c r="K111" s="130" t="s">
        <v>615</v>
      </c>
      <c r="L111" s="130" t="s">
        <v>616</v>
      </c>
      <c r="M111" s="130" t="s">
        <v>407</v>
      </c>
      <c r="N111" s="130"/>
      <c r="O111" s="130" t="s">
        <v>612</v>
      </c>
      <c r="P111" s="130" t="s">
        <v>581</v>
      </c>
      <c r="Q111" s="130"/>
      <c r="R111" s="130" t="s">
        <v>578</v>
      </c>
      <c r="S111" s="130"/>
      <c r="T111" s="141" t="s">
        <v>941</v>
      </c>
      <c r="U111" s="189"/>
      <c r="V111" s="213"/>
      <c r="W111" s="189" t="s">
        <v>794</v>
      </c>
      <c r="X111" s="189"/>
      <c r="Y111" s="214"/>
      <c r="Z111" s="189"/>
      <c r="AA111" s="215"/>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row>
    <row r="112" spans="1:61" ht="36" x14ac:dyDescent="0.25">
      <c r="A112" s="85">
        <v>17</v>
      </c>
      <c r="B112" s="130" t="s">
        <v>140</v>
      </c>
      <c r="C112" s="130"/>
      <c r="D112" s="130" t="s">
        <v>617</v>
      </c>
      <c r="E112" s="130" t="s">
        <v>569</v>
      </c>
      <c r="F112" s="130" t="s">
        <v>611</v>
      </c>
      <c r="G112" s="130" t="s">
        <v>306</v>
      </c>
      <c r="H112" s="130" t="s">
        <v>571</v>
      </c>
      <c r="I112" s="130" t="s">
        <v>611</v>
      </c>
      <c r="J112" s="130" t="s">
        <v>614</v>
      </c>
      <c r="K112" s="130" t="s">
        <v>618</v>
      </c>
      <c r="L112" s="130" t="s">
        <v>616</v>
      </c>
      <c r="M112" s="130" t="s">
        <v>407</v>
      </c>
      <c r="N112" s="130"/>
      <c r="O112" s="130" t="s">
        <v>612</v>
      </c>
      <c r="P112" s="130" t="s">
        <v>581</v>
      </c>
      <c r="Q112" s="130"/>
      <c r="R112" s="130" t="s">
        <v>578</v>
      </c>
      <c r="S112" s="130"/>
      <c r="T112" s="141" t="s">
        <v>941</v>
      </c>
      <c r="U112" s="189"/>
      <c r="V112" s="213"/>
      <c r="W112" s="189" t="s">
        <v>794</v>
      </c>
      <c r="X112" s="189"/>
      <c r="Y112" s="214"/>
      <c r="Z112" s="189"/>
      <c r="AA112" s="215"/>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row>
    <row r="113" spans="1:59" s="412" customFormat="1" ht="48" x14ac:dyDescent="0.25">
      <c r="A113" s="390">
        <v>18</v>
      </c>
      <c r="B113" s="409" t="s">
        <v>141</v>
      </c>
      <c r="C113" s="409"/>
      <c r="D113" s="409" t="s">
        <v>619</v>
      </c>
      <c r="E113" s="409" t="s">
        <v>569</v>
      </c>
      <c r="F113" s="409" t="s">
        <v>620</v>
      </c>
      <c r="G113" s="409" t="s">
        <v>279</v>
      </c>
      <c r="H113" s="409" t="s">
        <v>571</v>
      </c>
      <c r="I113" s="409" t="s">
        <v>620</v>
      </c>
      <c r="J113" s="409" t="s">
        <v>621</v>
      </c>
      <c r="K113" s="409" t="s">
        <v>622</v>
      </c>
      <c r="L113" s="409" t="s">
        <v>407</v>
      </c>
      <c r="M113" s="409" t="s">
        <v>623</v>
      </c>
      <c r="N113" s="409"/>
      <c r="O113" s="409" t="s">
        <v>285</v>
      </c>
      <c r="P113" s="409" t="s">
        <v>407</v>
      </c>
      <c r="Q113" s="409"/>
      <c r="R113" s="409" t="s">
        <v>624</v>
      </c>
      <c r="S113" s="409"/>
      <c r="T113" s="409" t="s">
        <v>947</v>
      </c>
      <c r="U113" s="393" t="s">
        <v>794</v>
      </c>
      <c r="V113" s="394"/>
      <c r="W113" s="393" t="s">
        <v>794</v>
      </c>
      <c r="X113" s="393"/>
      <c r="Y113" s="395"/>
      <c r="Z113" s="393"/>
      <c r="AA113" s="396"/>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row>
    <row r="114" spans="1:59" ht="15.75" x14ac:dyDescent="0.25">
      <c r="A114" s="85"/>
      <c r="B114" s="252" t="s">
        <v>3</v>
      </c>
      <c r="C114" s="252"/>
      <c r="D114" s="141"/>
      <c r="E114" s="141"/>
      <c r="F114" s="141"/>
      <c r="G114" s="141"/>
      <c r="H114" s="141"/>
      <c r="I114" s="141"/>
      <c r="J114" s="141"/>
      <c r="K114" s="141"/>
      <c r="L114" s="141"/>
      <c r="M114" s="141"/>
      <c r="N114" s="141"/>
      <c r="O114" s="141"/>
      <c r="P114" s="141"/>
      <c r="Q114" s="141"/>
      <c r="R114" s="141"/>
      <c r="S114" s="141"/>
      <c r="T114" s="141"/>
      <c r="U114" s="189"/>
      <c r="V114" s="213"/>
      <c r="W114" s="189"/>
      <c r="X114" s="189"/>
      <c r="Y114" s="214"/>
      <c r="Z114" s="189"/>
      <c r="AA114" s="215"/>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row>
    <row r="115" spans="1:59" ht="15.75" x14ac:dyDescent="0.25">
      <c r="A115" s="85"/>
      <c r="B115" s="252" t="s">
        <v>4</v>
      </c>
      <c r="C115" s="252"/>
      <c r="D115" s="141"/>
      <c r="E115" s="141"/>
      <c r="F115" s="141"/>
      <c r="G115" s="141"/>
      <c r="H115" s="141"/>
      <c r="I115" s="141"/>
      <c r="J115" s="141"/>
      <c r="K115" s="141"/>
      <c r="L115" s="141"/>
      <c r="M115" s="141"/>
      <c r="N115" s="141"/>
      <c r="O115" s="141"/>
      <c r="P115" s="141"/>
      <c r="Q115" s="141"/>
      <c r="R115" s="141"/>
      <c r="S115" s="141"/>
      <c r="T115" s="141"/>
      <c r="U115" s="189"/>
      <c r="V115" s="213"/>
      <c r="W115" s="189"/>
      <c r="X115" s="189"/>
      <c r="Y115" s="214"/>
      <c r="Z115" s="189"/>
      <c r="AA115" s="215"/>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row>
    <row r="116" spans="1:59" ht="15.75" x14ac:dyDescent="0.25">
      <c r="A116" s="85"/>
      <c r="B116" s="252" t="s">
        <v>5</v>
      </c>
      <c r="C116" s="252"/>
      <c r="D116" s="141"/>
      <c r="E116" s="141"/>
      <c r="F116" s="141"/>
      <c r="G116" s="141"/>
      <c r="H116" s="141"/>
      <c r="I116" s="141"/>
      <c r="J116" s="141"/>
      <c r="K116" s="141"/>
      <c r="L116" s="141"/>
      <c r="M116" s="141"/>
      <c r="N116" s="141"/>
      <c r="O116" s="141"/>
      <c r="P116" s="141"/>
      <c r="Q116" s="141"/>
      <c r="R116" s="141"/>
      <c r="S116" s="141"/>
      <c r="T116" s="141"/>
      <c r="U116" s="189"/>
      <c r="V116" s="213"/>
      <c r="W116" s="189"/>
      <c r="X116" s="189"/>
      <c r="Y116" s="214"/>
      <c r="Z116" s="189"/>
      <c r="AA116" s="215"/>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row>
    <row r="117" spans="1:59" ht="15.75" x14ac:dyDescent="0.25">
      <c r="A117" s="85"/>
      <c r="B117" s="252" t="s">
        <v>251</v>
      </c>
      <c r="C117" s="252"/>
      <c r="D117" s="141"/>
      <c r="E117" s="141"/>
      <c r="F117" s="141"/>
      <c r="G117" s="141"/>
      <c r="H117" s="141"/>
      <c r="I117" s="141"/>
      <c r="J117" s="141"/>
      <c r="K117" s="141"/>
      <c r="L117" s="141"/>
      <c r="M117" s="141"/>
      <c r="N117" s="141"/>
      <c r="O117" s="141"/>
      <c r="P117" s="141"/>
      <c r="Q117" s="141"/>
      <c r="R117" s="141"/>
      <c r="S117" s="141"/>
      <c r="T117" s="141"/>
      <c r="U117" s="189"/>
      <c r="V117" s="213"/>
      <c r="W117" s="189"/>
      <c r="X117" s="189"/>
      <c r="Y117" s="214"/>
      <c r="Z117" s="189"/>
      <c r="AA117" s="215"/>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row>
    <row r="118" spans="1:59" ht="15.75" x14ac:dyDescent="0.25">
      <c r="A118" s="85"/>
      <c r="B118" s="252" t="s">
        <v>252</v>
      </c>
      <c r="C118" s="252"/>
      <c r="D118" s="141"/>
      <c r="E118" s="141"/>
      <c r="F118" s="141"/>
      <c r="G118" s="141"/>
      <c r="H118" s="141"/>
      <c r="I118" s="141"/>
      <c r="J118" s="141"/>
      <c r="K118" s="141"/>
      <c r="L118" s="141"/>
      <c r="M118" s="141"/>
      <c r="N118" s="141"/>
      <c r="O118" s="141"/>
      <c r="P118" s="141"/>
      <c r="Q118" s="141"/>
      <c r="R118" s="141"/>
      <c r="S118" s="141"/>
      <c r="T118" s="141"/>
      <c r="U118" s="189"/>
      <c r="V118" s="213"/>
      <c r="W118" s="189"/>
      <c r="X118" s="189"/>
      <c r="Y118" s="214"/>
      <c r="Z118" s="189"/>
      <c r="AA118" s="215"/>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row>
    <row r="119" spans="1:59" ht="15.75" x14ac:dyDescent="0.25">
      <c r="A119" s="85"/>
      <c r="B119" s="252" t="s">
        <v>6</v>
      </c>
      <c r="C119" s="252"/>
      <c r="D119" s="141"/>
      <c r="E119" s="141"/>
      <c r="F119" s="141"/>
      <c r="G119" s="141"/>
      <c r="H119" s="141"/>
      <c r="I119" s="141"/>
      <c r="J119" s="141"/>
      <c r="K119" s="141"/>
      <c r="L119" s="141"/>
      <c r="M119" s="141"/>
      <c r="N119" s="141"/>
      <c r="O119" s="141"/>
      <c r="P119" s="141"/>
      <c r="Q119" s="141"/>
      <c r="R119" s="141"/>
      <c r="S119" s="141"/>
      <c r="T119" s="141"/>
      <c r="U119" s="189"/>
      <c r="V119" s="213"/>
      <c r="W119" s="189"/>
      <c r="X119" s="189"/>
      <c r="Y119" s="214"/>
      <c r="Z119" s="189"/>
      <c r="AA119" s="215"/>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row>
    <row r="120" spans="1:59" ht="15.75" x14ac:dyDescent="0.25">
      <c r="A120" s="85"/>
      <c r="B120" s="252" t="s">
        <v>8</v>
      </c>
      <c r="C120" s="252"/>
      <c r="D120" s="141"/>
      <c r="E120" s="141"/>
      <c r="F120" s="141"/>
      <c r="G120" s="141"/>
      <c r="H120" s="141"/>
      <c r="I120" s="141"/>
      <c r="J120" s="141"/>
      <c r="K120" s="141"/>
      <c r="L120" s="141"/>
      <c r="M120" s="141"/>
      <c r="N120" s="141"/>
      <c r="O120" s="141"/>
      <c r="P120" s="141"/>
      <c r="Q120" s="141"/>
      <c r="R120" s="141"/>
      <c r="S120" s="141"/>
      <c r="T120" s="141"/>
      <c r="U120" s="189"/>
      <c r="V120" s="213"/>
      <c r="W120" s="189"/>
      <c r="X120" s="189"/>
      <c r="Y120" s="214"/>
      <c r="Z120" s="189"/>
      <c r="AA120" s="215"/>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row>
    <row r="121" spans="1:59" ht="15.75" x14ac:dyDescent="0.25">
      <c r="A121" s="85"/>
      <c r="B121" s="252" t="s">
        <v>7</v>
      </c>
      <c r="C121" s="252"/>
      <c r="D121" s="141"/>
      <c r="E121" s="141"/>
      <c r="F121" s="141"/>
      <c r="G121" s="141"/>
      <c r="H121" s="141"/>
      <c r="I121" s="141"/>
      <c r="J121" s="141"/>
      <c r="K121" s="141"/>
      <c r="L121" s="141"/>
      <c r="M121" s="141"/>
      <c r="N121" s="141"/>
      <c r="O121" s="141"/>
      <c r="P121" s="141"/>
      <c r="Q121" s="141"/>
      <c r="R121" s="141"/>
      <c r="S121" s="141"/>
      <c r="T121" s="141"/>
      <c r="U121" s="189"/>
      <c r="V121" s="213"/>
      <c r="W121" s="189"/>
      <c r="X121" s="189"/>
      <c r="Y121" s="214"/>
      <c r="Z121" s="189"/>
      <c r="AA121" s="215"/>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row>
    <row r="122" spans="1:59" ht="15.75" x14ac:dyDescent="0.25">
      <c r="A122" s="85"/>
      <c r="B122" s="141"/>
      <c r="C122" s="141"/>
      <c r="D122" s="141"/>
      <c r="E122" s="141"/>
      <c r="F122" s="141"/>
      <c r="G122" s="141"/>
      <c r="H122" s="141"/>
      <c r="I122" s="141"/>
      <c r="J122" s="141"/>
      <c r="K122" s="141"/>
      <c r="L122" s="141"/>
      <c r="M122" s="141"/>
      <c r="N122" s="141"/>
      <c r="O122" s="141"/>
      <c r="P122" s="141"/>
      <c r="Q122" s="141"/>
      <c r="R122" s="141"/>
      <c r="S122" s="141"/>
      <c r="T122" s="141"/>
      <c r="U122" s="189"/>
      <c r="V122" s="213"/>
      <c r="W122" s="189"/>
      <c r="X122" s="189"/>
      <c r="Y122" s="214"/>
      <c r="Z122" s="189"/>
      <c r="AA122" s="215"/>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row>
    <row r="123" spans="1:59" ht="36" x14ac:dyDescent="0.25">
      <c r="A123" s="85">
        <v>19</v>
      </c>
      <c r="B123" s="130" t="s">
        <v>142</v>
      </c>
      <c r="C123" s="130"/>
      <c r="D123" s="130" t="s">
        <v>625</v>
      </c>
      <c r="E123" s="130" t="s">
        <v>569</v>
      </c>
      <c r="F123" s="130" t="s">
        <v>620</v>
      </c>
      <c r="G123" s="130" t="s">
        <v>279</v>
      </c>
      <c r="H123" s="130" t="s">
        <v>571</v>
      </c>
      <c r="I123" s="130" t="s">
        <v>620</v>
      </c>
      <c r="J123" s="130" t="s">
        <v>621</v>
      </c>
      <c r="K123" s="130" t="s">
        <v>350</v>
      </c>
      <c r="L123" s="130" t="s">
        <v>350</v>
      </c>
      <c r="M123" s="130" t="s">
        <v>350</v>
      </c>
      <c r="N123" s="130"/>
      <c r="O123" s="130" t="s">
        <v>285</v>
      </c>
      <c r="P123" s="130" t="s">
        <v>286</v>
      </c>
      <c r="Q123" s="130"/>
      <c r="R123" s="130" t="s">
        <v>624</v>
      </c>
      <c r="S123" s="130"/>
      <c r="T123" s="130" t="s">
        <v>946</v>
      </c>
      <c r="U123" s="189"/>
      <c r="V123" s="213"/>
      <c r="W123" s="189" t="s">
        <v>794</v>
      </c>
      <c r="X123" s="189"/>
      <c r="Y123" s="214"/>
      <c r="Z123" s="189"/>
      <c r="AA123" s="215"/>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row>
    <row r="124" spans="1:59" s="412" customFormat="1" ht="36" x14ac:dyDescent="0.25">
      <c r="A124" s="390">
        <v>20</v>
      </c>
      <c r="B124" s="409" t="s">
        <v>143</v>
      </c>
      <c r="C124" s="409"/>
      <c r="D124" s="409" t="s">
        <v>626</v>
      </c>
      <c r="E124" s="409" t="s">
        <v>569</v>
      </c>
      <c r="F124" s="409" t="s">
        <v>620</v>
      </c>
      <c r="G124" s="409" t="s">
        <v>279</v>
      </c>
      <c r="H124" s="409" t="s">
        <v>571</v>
      </c>
      <c r="I124" s="409" t="s">
        <v>620</v>
      </c>
      <c r="J124" s="409" t="s">
        <v>621</v>
      </c>
      <c r="K124" s="409" t="s">
        <v>622</v>
      </c>
      <c r="L124" s="409" t="s">
        <v>350</v>
      </c>
      <c r="M124" s="409" t="s">
        <v>350</v>
      </c>
      <c r="N124" s="409"/>
      <c r="O124" s="409" t="s">
        <v>627</v>
      </c>
      <c r="P124" s="409" t="s">
        <v>286</v>
      </c>
      <c r="Q124" s="409"/>
      <c r="R124" s="409" t="s">
        <v>624</v>
      </c>
      <c r="S124" s="409"/>
      <c r="T124" s="409" t="s">
        <v>941</v>
      </c>
      <c r="U124" s="393" t="s">
        <v>794</v>
      </c>
      <c r="V124" s="394"/>
      <c r="W124" s="393" t="s">
        <v>794</v>
      </c>
      <c r="X124" s="393"/>
      <c r="Y124" s="395"/>
      <c r="Z124" s="393"/>
      <c r="AA124" s="396"/>
      <c r="AB124" s="410"/>
      <c r="AC124" s="410"/>
      <c r="AD124" s="410"/>
      <c r="AE124" s="410"/>
      <c r="AF124" s="410"/>
      <c r="AG124" s="410"/>
      <c r="AH124" s="410"/>
      <c r="AI124" s="410"/>
      <c r="AJ124" s="410"/>
      <c r="AK124" s="410"/>
      <c r="AL124" s="410"/>
      <c r="AM124" s="410"/>
      <c r="AN124" s="410"/>
      <c r="AO124" s="410"/>
      <c r="AP124" s="410"/>
      <c r="AQ124" s="410"/>
      <c r="AR124" s="410"/>
      <c r="AS124" s="410"/>
      <c r="AT124" s="410"/>
      <c r="AU124" s="410"/>
      <c r="AV124" s="410"/>
      <c r="AW124" s="410"/>
      <c r="AX124" s="410"/>
      <c r="AY124" s="410"/>
      <c r="AZ124" s="410"/>
      <c r="BA124" s="410"/>
      <c r="BB124" s="410"/>
      <c r="BC124" s="410"/>
      <c r="BD124" s="410"/>
      <c r="BE124" s="410"/>
      <c r="BF124" s="410"/>
      <c r="BG124" s="410"/>
    </row>
    <row r="125" spans="1:59" ht="36" x14ac:dyDescent="0.25">
      <c r="A125" s="85">
        <v>21</v>
      </c>
      <c r="B125" s="130" t="s">
        <v>144</v>
      </c>
      <c r="C125" s="130"/>
      <c r="D125" s="130" t="s">
        <v>628</v>
      </c>
      <c r="E125" s="130" t="s">
        <v>569</v>
      </c>
      <c r="F125" s="130" t="s">
        <v>620</v>
      </c>
      <c r="G125" s="130" t="s">
        <v>306</v>
      </c>
      <c r="H125" s="130" t="s">
        <v>571</v>
      </c>
      <c r="I125" s="130" t="s">
        <v>620</v>
      </c>
      <c r="J125" s="130" t="s">
        <v>621</v>
      </c>
      <c r="K125" s="130" t="s">
        <v>622</v>
      </c>
      <c r="L125" s="130" t="s">
        <v>350</v>
      </c>
      <c r="M125" s="130" t="s">
        <v>350</v>
      </c>
      <c r="N125" s="130"/>
      <c r="O125" s="130" t="s">
        <v>285</v>
      </c>
      <c r="P125" s="130" t="s">
        <v>286</v>
      </c>
      <c r="Q125" s="130"/>
      <c r="R125" s="130" t="s">
        <v>624</v>
      </c>
      <c r="S125" s="130"/>
      <c r="T125" s="130"/>
      <c r="U125" s="189"/>
      <c r="V125" s="213"/>
      <c r="W125" s="189" t="s">
        <v>794</v>
      </c>
      <c r="X125" s="189"/>
      <c r="Y125" s="214"/>
      <c r="Z125" s="189"/>
      <c r="AA125" s="215"/>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row>
    <row r="126" spans="1:59" ht="36" x14ac:dyDescent="0.25">
      <c r="A126" s="85">
        <v>22</v>
      </c>
      <c r="B126" s="130" t="s">
        <v>145</v>
      </c>
      <c r="C126" s="130"/>
      <c r="D126" s="130" t="s">
        <v>629</v>
      </c>
      <c r="E126" s="130" t="s">
        <v>569</v>
      </c>
      <c r="F126" s="130" t="s">
        <v>620</v>
      </c>
      <c r="G126" s="130" t="s">
        <v>306</v>
      </c>
      <c r="H126" s="130" t="s">
        <v>571</v>
      </c>
      <c r="I126" s="130" t="s">
        <v>620</v>
      </c>
      <c r="J126" s="130" t="s">
        <v>621</v>
      </c>
      <c r="K126" s="130" t="s">
        <v>622</v>
      </c>
      <c r="L126" s="130" t="s">
        <v>350</v>
      </c>
      <c r="M126" s="130" t="s">
        <v>350</v>
      </c>
      <c r="N126" s="130"/>
      <c r="O126" s="130" t="s">
        <v>285</v>
      </c>
      <c r="P126" s="130" t="s">
        <v>286</v>
      </c>
      <c r="Q126" s="130"/>
      <c r="R126" s="130" t="s">
        <v>624</v>
      </c>
      <c r="S126" s="130"/>
      <c r="T126" s="141" t="s">
        <v>941</v>
      </c>
      <c r="U126" s="189"/>
      <c r="V126" s="213"/>
      <c r="W126" s="189" t="s">
        <v>794</v>
      </c>
      <c r="X126" s="189"/>
      <c r="Y126" s="214"/>
      <c r="Z126" s="189"/>
      <c r="AA126" s="215"/>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row>
    <row r="127" spans="1:59" ht="72" x14ac:dyDescent="0.25">
      <c r="A127" s="85">
        <v>23</v>
      </c>
      <c r="B127" s="727" t="s">
        <v>797</v>
      </c>
      <c r="C127" s="727"/>
      <c r="D127" s="141" t="s">
        <v>630</v>
      </c>
      <c r="E127" s="141" t="s">
        <v>569</v>
      </c>
      <c r="F127" s="141" t="s">
        <v>620</v>
      </c>
      <c r="G127" s="141" t="s">
        <v>279</v>
      </c>
      <c r="H127" s="141" t="s">
        <v>571</v>
      </c>
      <c r="I127" s="141" t="s">
        <v>620</v>
      </c>
      <c r="J127" s="141" t="s">
        <v>974</v>
      </c>
      <c r="K127" s="141" t="s">
        <v>622</v>
      </c>
      <c r="L127" s="141" t="s">
        <v>350</v>
      </c>
      <c r="M127" s="141" t="s">
        <v>350</v>
      </c>
      <c r="N127" s="141"/>
      <c r="O127" s="141" t="s">
        <v>285</v>
      </c>
      <c r="P127" s="141" t="s">
        <v>286</v>
      </c>
      <c r="Q127" s="141"/>
      <c r="R127" s="141" t="s">
        <v>624</v>
      </c>
      <c r="S127" s="141"/>
      <c r="T127" s="141" t="s">
        <v>948</v>
      </c>
      <c r="U127" s="189" t="s">
        <v>794</v>
      </c>
      <c r="V127" s="213" t="s">
        <v>794</v>
      </c>
      <c r="W127" s="189"/>
      <c r="X127" s="189"/>
      <c r="Y127" s="214"/>
      <c r="Z127" s="189"/>
      <c r="AA127" s="215"/>
      <c r="AB127" s="698">
        <v>2011</v>
      </c>
      <c r="AC127" s="691"/>
      <c r="AD127" s="691">
        <v>2012</v>
      </c>
      <c r="AE127" s="691"/>
      <c r="AF127" s="691">
        <v>2013</v>
      </c>
      <c r="AG127" s="691"/>
      <c r="AH127" s="691">
        <v>2014</v>
      </c>
      <c r="AI127" s="681"/>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row>
    <row r="128" spans="1:59" ht="15.75" x14ac:dyDescent="0.25">
      <c r="A128" s="85"/>
      <c r="B128" s="252" t="s">
        <v>3</v>
      </c>
      <c r="C128" s="252"/>
      <c r="D128" s="141"/>
      <c r="E128" s="141"/>
      <c r="F128" s="141"/>
      <c r="G128" s="141"/>
      <c r="H128" s="141"/>
      <c r="I128" s="141"/>
      <c r="J128" s="141"/>
      <c r="K128" s="141"/>
      <c r="L128" s="141"/>
      <c r="M128" s="141"/>
      <c r="N128" s="141"/>
      <c r="O128" s="141"/>
      <c r="P128" s="141"/>
      <c r="Q128" s="141"/>
      <c r="R128" s="141"/>
      <c r="S128" s="141"/>
      <c r="T128" s="141"/>
      <c r="U128" s="189"/>
      <c r="V128" s="213"/>
      <c r="W128" s="189"/>
      <c r="X128" s="189"/>
      <c r="Y128" s="214"/>
      <c r="Z128" s="189"/>
      <c r="AA128" s="215"/>
      <c r="AB128" s="198"/>
      <c r="AC128" s="198"/>
      <c r="AD128" s="198"/>
      <c r="AE128" s="198"/>
      <c r="AF128" s="231">
        <v>52096.6</v>
      </c>
      <c r="AG128" s="231"/>
      <c r="AH128" s="231">
        <v>263664.2</v>
      </c>
      <c r="AI128" s="231"/>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row>
    <row r="129" spans="1:65" s="469" customFormat="1" ht="15.75" x14ac:dyDescent="0.25">
      <c r="A129" s="444"/>
      <c r="B129" s="494" t="s">
        <v>4</v>
      </c>
      <c r="C129" s="494"/>
      <c r="D129" s="141"/>
      <c r="E129" s="141"/>
      <c r="F129" s="141"/>
      <c r="G129" s="141"/>
      <c r="H129" s="141"/>
      <c r="I129" s="141"/>
      <c r="J129" s="141"/>
      <c r="K129" s="141"/>
      <c r="L129" s="141"/>
      <c r="M129" s="141"/>
      <c r="N129" s="141"/>
      <c r="O129" s="141"/>
      <c r="P129" s="141"/>
      <c r="Q129" s="141"/>
      <c r="R129" s="141"/>
      <c r="S129" s="141"/>
      <c r="T129" s="141"/>
      <c r="U129" s="189"/>
      <c r="V129" s="213"/>
      <c r="W129" s="189"/>
      <c r="X129" s="189"/>
      <c r="Y129" s="214"/>
      <c r="Z129" s="189"/>
      <c r="AA129" s="215"/>
      <c r="AB129" s="488"/>
      <c r="AC129" s="488"/>
      <c r="AD129" s="488"/>
      <c r="AE129" s="488"/>
      <c r="AF129" s="745">
        <v>24139.9</v>
      </c>
      <c r="AG129" s="745"/>
      <c r="AH129" s="745">
        <v>21461.599999999999</v>
      </c>
      <c r="AI129" s="745"/>
      <c r="AJ129" s="275"/>
      <c r="AK129" s="275"/>
      <c r="AL129" s="275"/>
      <c r="AM129" s="275"/>
      <c r="AN129" s="275"/>
      <c r="AO129" s="275"/>
      <c r="AP129" s="275"/>
      <c r="AQ129" s="275"/>
      <c r="AR129" s="275"/>
      <c r="AS129" s="275"/>
      <c r="AT129" s="275"/>
      <c r="AU129" s="275"/>
      <c r="AV129" s="275"/>
      <c r="AW129" s="275"/>
      <c r="AX129" s="275"/>
      <c r="AY129" s="275"/>
      <c r="AZ129" s="275"/>
      <c r="BA129" s="275"/>
      <c r="BB129" s="275"/>
      <c r="BC129" s="275"/>
      <c r="BD129" s="275"/>
      <c r="BE129" s="275"/>
      <c r="BF129" s="275"/>
      <c r="BG129" s="275"/>
    </row>
    <row r="130" spans="1:65" ht="15.75" x14ac:dyDescent="0.25">
      <c r="A130" s="85"/>
      <c r="B130" s="252" t="s">
        <v>5</v>
      </c>
      <c r="C130" s="252"/>
      <c r="D130" s="141"/>
      <c r="E130" s="141"/>
      <c r="F130" s="141"/>
      <c r="G130" s="141"/>
      <c r="H130" s="141"/>
      <c r="I130" s="141"/>
      <c r="J130" s="141"/>
      <c r="K130" s="141"/>
      <c r="L130" s="141"/>
      <c r="M130" s="141"/>
      <c r="N130" s="141"/>
      <c r="O130" s="141"/>
      <c r="P130" s="141"/>
      <c r="Q130" s="141"/>
      <c r="R130" s="141"/>
      <c r="S130" s="141"/>
      <c r="T130" s="141"/>
      <c r="U130" s="189"/>
      <c r="V130" s="213"/>
      <c r="W130" s="189"/>
      <c r="X130" s="189"/>
      <c r="Y130" s="214"/>
      <c r="Z130" s="189"/>
      <c r="AA130" s="215"/>
      <c r="AB130" s="198"/>
      <c r="AC130" s="198"/>
      <c r="AD130" s="198"/>
      <c r="AE130" s="198"/>
      <c r="AF130" s="198"/>
      <c r="AG130" s="198"/>
      <c r="AH130" s="198"/>
      <c r="AI130" s="198"/>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row>
    <row r="131" spans="1:65" ht="15.75" x14ac:dyDescent="0.25">
      <c r="A131" s="85"/>
      <c r="B131" s="252" t="s">
        <v>251</v>
      </c>
      <c r="C131" s="252"/>
      <c r="D131" s="141"/>
      <c r="E131" s="141"/>
      <c r="F131" s="141"/>
      <c r="G131" s="141"/>
      <c r="H131" s="141"/>
      <c r="I131" s="141"/>
      <c r="J131" s="141"/>
      <c r="K131" s="141"/>
      <c r="L131" s="141"/>
      <c r="M131" s="141"/>
      <c r="N131" s="141"/>
      <c r="O131" s="141"/>
      <c r="P131" s="141"/>
      <c r="Q131" s="141"/>
      <c r="R131" s="141"/>
      <c r="S131" s="141"/>
      <c r="T131" s="141"/>
      <c r="U131" s="189"/>
      <c r="V131" s="213"/>
      <c r="W131" s="189"/>
      <c r="X131" s="189"/>
      <c r="Y131" s="214"/>
      <c r="Z131" s="189"/>
      <c r="AA131" s="215"/>
      <c r="AB131" s="231">
        <v>3543</v>
      </c>
      <c r="AC131" s="231"/>
      <c r="AD131" s="198">
        <v>321262.8</v>
      </c>
      <c r="AE131" s="198"/>
      <c r="AF131" s="231">
        <v>1328357.2</v>
      </c>
      <c r="AG131" s="231"/>
      <c r="AH131" s="231">
        <v>6792942.9000000004</v>
      </c>
      <c r="AI131" s="231"/>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row>
    <row r="132" spans="1:65" ht="15.75" x14ac:dyDescent="0.25">
      <c r="A132" s="85"/>
      <c r="B132" s="252" t="s">
        <v>252</v>
      </c>
      <c r="C132" s="252"/>
      <c r="D132" s="141"/>
      <c r="E132" s="141"/>
      <c r="F132" s="141"/>
      <c r="G132" s="141"/>
      <c r="H132" s="141"/>
      <c r="I132" s="141"/>
      <c r="J132" s="141"/>
      <c r="K132" s="141"/>
      <c r="L132" s="141"/>
      <c r="M132" s="141"/>
      <c r="N132" s="141"/>
      <c r="O132" s="141"/>
      <c r="P132" s="141"/>
      <c r="Q132" s="141"/>
      <c r="R132" s="141"/>
      <c r="S132" s="141"/>
      <c r="T132" s="141"/>
      <c r="U132" s="189"/>
      <c r="V132" s="213"/>
      <c r="W132" s="189"/>
      <c r="X132" s="189"/>
      <c r="Y132" s="214"/>
      <c r="Z132" s="189"/>
      <c r="AA132" s="215"/>
      <c r="AB132" s="198"/>
      <c r="AC132" s="198"/>
      <c r="AD132" s="231">
        <v>5609.9</v>
      </c>
      <c r="AE132" s="231"/>
      <c r="AF132" s="231">
        <v>5120799.3</v>
      </c>
      <c r="AG132" s="231"/>
      <c r="AH132" s="231">
        <v>366978.8</v>
      </c>
      <c r="AI132" s="231"/>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row>
    <row r="133" spans="1:65" s="469" customFormat="1" ht="16.5" customHeight="1" x14ac:dyDescent="0.25">
      <c r="A133" s="444"/>
      <c r="B133" s="494" t="s">
        <v>6</v>
      </c>
      <c r="C133" s="494"/>
      <c r="D133" s="141"/>
      <c r="E133" s="141"/>
      <c r="F133" s="141"/>
      <c r="G133" s="141"/>
      <c r="H133" s="141"/>
      <c r="I133" s="141"/>
      <c r="J133" s="141"/>
      <c r="K133" s="141"/>
      <c r="L133" s="141"/>
      <c r="M133" s="141"/>
      <c r="N133" s="141"/>
      <c r="O133" s="141"/>
      <c r="P133" s="141"/>
      <c r="Q133" s="141"/>
      <c r="R133" s="141"/>
      <c r="S133" s="141"/>
      <c r="T133" s="141"/>
      <c r="U133" s="189"/>
      <c r="V133" s="213"/>
      <c r="W133" s="189"/>
      <c r="X133" s="189"/>
      <c r="Y133" s="214"/>
      <c r="Z133" s="189"/>
      <c r="AA133" s="215"/>
      <c r="AB133" s="745">
        <v>7434</v>
      </c>
      <c r="AC133" s="745"/>
      <c r="AD133" s="488"/>
      <c r="AE133" s="488"/>
      <c r="AF133" s="745">
        <v>22010126.5</v>
      </c>
      <c r="AG133" s="745"/>
      <c r="AH133" s="745">
        <v>15421621.5</v>
      </c>
      <c r="AI133" s="745"/>
      <c r="AJ133" s="275"/>
      <c r="AK133" s="275"/>
      <c r="AL133" s="275"/>
      <c r="AM133" s="275"/>
      <c r="AN133" s="275"/>
      <c r="AO133" s="275"/>
      <c r="AP133" s="275"/>
      <c r="AQ133" s="275"/>
      <c r="AR133" s="275"/>
      <c r="AS133" s="275"/>
      <c r="AT133" s="275"/>
      <c r="AU133" s="275"/>
      <c r="AV133" s="275"/>
      <c r="AW133" s="275"/>
      <c r="AX133" s="275"/>
      <c r="AY133" s="275"/>
      <c r="AZ133" s="275"/>
      <c r="BA133" s="275"/>
      <c r="BB133" s="275"/>
      <c r="BC133" s="275"/>
      <c r="BD133" s="275"/>
      <c r="BE133" s="275"/>
      <c r="BF133" s="275"/>
      <c r="BG133" s="275"/>
    </row>
    <row r="134" spans="1:65" s="469" customFormat="1" ht="15.75" x14ac:dyDescent="0.25">
      <c r="A134" s="444"/>
      <c r="B134" s="494" t="s">
        <v>8</v>
      </c>
      <c r="C134" s="494"/>
      <c r="D134" s="141"/>
      <c r="E134" s="141"/>
      <c r="F134" s="141"/>
      <c r="G134" s="141"/>
      <c r="H134" s="141"/>
      <c r="I134" s="141"/>
      <c r="J134" s="141"/>
      <c r="K134" s="141"/>
      <c r="L134" s="141"/>
      <c r="M134" s="141"/>
      <c r="N134" s="141"/>
      <c r="O134" s="141"/>
      <c r="P134" s="141"/>
      <c r="Q134" s="141"/>
      <c r="R134" s="141"/>
      <c r="S134" s="141"/>
      <c r="T134" s="141"/>
      <c r="U134" s="189"/>
      <c r="V134" s="213"/>
      <c r="W134" s="189"/>
      <c r="X134" s="189"/>
      <c r="Y134" s="214"/>
      <c r="Z134" s="189"/>
      <c r="AA134" s="215"/>
      <c r="AB134" s="745">
        <v>2391.1999999999998</v>
      </c>
      <c r="AC134" s="745"/>
      <c r="AD134" s="745">
        <v>2152.9</v>
      </c>
      <c r="AE134" s="745"/>
      <c r="AF134" s="745">
        <v>1091.0999999999999</v>
      </c>
      <c r="AG134" s="745"/>
      <c r="AH134" s="745">
        <v>25901.1</v>
      </c>
      <c r="AI134" s="745"/>
      <c r="AJ134" s="275"/>
      <c r="AK134" s="275"/>
      <c r="AL134" s="275"/>
      <c r="AM134" s="275"/>
      <c r="AN134" s="275"/>
      <c r="AO134" s="275"/>
      <c r="AP134" s="275"/>
      <c r="AQ134" s="275"/>
      <c r="AR134" s="275"/>
      <c r="AS134" s="275"/>
      <c r="AT134" s="275"/>
      <c r="AU134" s="275"/>
      <c r="AV134" s="275"/>
      <c r="AW134" s="275"/>
      <c r="AX134" s="275"/>
      <c r="AY134" s="275"/>
      <c r="AZ134" s="275"/>
      <c r="BA134" s="275"/>
      <c r="BB134" s="275"/>
      <c r="BC134" s="275"/>
      <c r="BD134" s="275"/>
      <c r="BE134" s="275"/>
      <c r="BF134" s="275"/>
      <c r="BG134" s="275"/>
    </row>
    <row r="135" spans="1:65" s="469" customFormat="1" ht="15.75" x14ac:dyDescent="0.25">
      <c r="A135" s="444"/>
      <c r="B135" s="494" t="s">
        <v>7</v>
      </c>
      <c r="C135" s="494"/>
      <c r="D135" s="141"/>
      <c r="E135" s="141"/>
      <c r="F135" s="141"/>
      <c r="G135" s="141"/>
      <c r="H135" s="141"/>
      <c r="I135" s="141"/>
      <c r="J135" s="141"/>
      <c r="K135" s="141"/>
      <c r="L135" s="141"/>
      <c r="M135" s="141"/>
      <c r="N135" s="141"/>
      <c r="O135" s="141"/>
      <c r="P135" s="141"/>
      <c r="Q135" s="141"/>
      <c r="R135" s="141"/>
      <c r="S135" s="141"/>
      <c r="T135" s="141"/>
      <c r="U135" s="189"/>
      <c r="V135" s="213"/>
      <c r="W135" s="189"/>
      <c r="X135" s="189"/>
      <c r="Y135" s="214"/>
      <c r="Z135" s="189"/>
      <c r="AA135" s="215"/>
      <c r="AB135" s="4"/>
      <c r="AC135" s="4"/>
      <c r="AD135" s="4"/>
      <c r="AE135" s="4"/>
      <c r="AF135" s="4"/>
      <c r="AG135" s="4"/>
      <c r="AH135" s="4"/>
      <c r="AI135" s="4"/>
      <c r="AJ135" s="275"/>
      <c r="AK135" s="275"/>
      <c r="AL135" s="275"/>
      <c r="AM135" s="275"/>
      <c r="AN135" s="275"/>
      <c r="AO135" s="275"/>
      <c r="AP135" s="275"/>
      <c r="AQ135" s="275"/>
      <c r="AR135" s="275"/>
      <c r="AS135" s="275"/>
      <c r="AT135" s="275"/>
      <c r="AU135" s="275"/>
      <c r="AV135" s="275"/>
      <c r="AW135" s="275"/>
      <c r="AX135" s="275"/>
      <c r="AY135" s="275"/>
      <c r="AZ135" s="275"/>
      <c r="BA135" s="275"/>
      <c r="BB135" s="275"/>
      <c r="BC135" s="275"/>
      <c r="BD135" s="275"/>
      <c r="BE135" s="275"/>
      <c r="BF135" s="275"/>
      <c r="BG135" s="275"/>
    </row>
    <row r="136" spans="1:65" ht="15.75" x14ac:dyDescent="0.25">
      <c r="A136" s="85"/>
      <c r="B136" s="141"/>
      <c r="C136" s="141"/>
      <c r="D136" s="141"/>
      <c r="E136" s="141"/>
      <c r="F136" s="141"/>
      <c r="G136" s="141"/>
      <c r="H136" s="141"/>
      <c r="I136" s="141"/>
      <c r="J136" s="141"/>
      <c r="K136" s="141"/>
      <c r="L136" s="141"/>
      <c r="M136" s="141"/>
      <c r="N136" s="141"/>
      <c r="O136" s="141"/>
      <c r="P136" s="141"/>
      <c r="Q136" s="141"/>
      <c r="R136" s="141"/>
      <c r="S136" s="141"/>
      <c r="T136" s="141"/>
      <c r="U136" s="189"/>
      <c r="V136" s="213"/>
      <c r="W136" s="189"/>
      <c r="X136" s="189"/>
      <c r="Y136" s="214"/>
      <c r="Z136" s="189"/>
      <c r="AA136" s="215"/>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row>
    <row r="137" spans="1:65" ht="36" x14ac:dyDescent="0.25">
      <c r="A137" s="85">
        <v>24</v>
      </c>
      <c r="B137" s="130" t="s">
        <v>146</v>
      </c>
      <c r="C137" s="130"/>
      <c r="D137" s="130" t="s">
        <v>631</v>
      </c>
      <c r="E137" s="130" t="s">
        <v>569</v>
      </c>
      <c r="F137" s="130" t="s">
        <v>620</v>
      </c>
      <c r="G137" s="130" t="s">
        <v>306</v>
      </c>
      <c r="H137" s="130" t="s">
        <v>571</v>
      </c>
      <c r="I137" s="130" t="s">
        <v>620</v>
      </c>
      <c r="J137" s="130" t="s">
        <v>621</v>
      </c>
      <c r="K137" s="130" t="s">
        <v>622</v>
      </c>
      <c r="L137" s="130" t="s">
        <v>350</v>
      </c>
      <c r="M137" s="130" t="s">
        <v>350</v>
      </c>
      <c r="N137" s="130"/>
      <c r="O137" s="130" t="s">
        <v>285</v>
      </c>
      <c r="P137" s="130" t="s">
        <v>286</v>
      </c>
      <c r="Q137" s="130"/>
      <c r="R137" s="130" t="s">
        <v>624</v>
      </c>
      <c r="S137" s="130"/>
      <c r="T137" s="141" t="s">
        <v>941</v>
      </c>
      <c r="U137" s="189"/>
      <c r="V137" s="213"/>
      <c r="W137" s="189" t="s">
        <v>794</v>
      </c>
      <c r="X137" s="189"/>
      <c r="Y137" s="214"/>
      <c r="Z137" s="189"/>
      <c r="AA137" s="215"/>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row>
    <row r="138" spans="1:65" s="412" customFormat="1" ht="36" x14ac:dyDescent="0.25">
      <c r="A138" s="390">
        <v>25</v>
      </c>
      <c r="B138" s="409" t="s">
        <v>147</v>
      </c>
      <c r="C138" s="409"/>
      <c r="D138" s="409" t="s">
        <v>632</v>
      </c>
      <c r="E138" s="409" t="s">
        <v>569</v>
      </c>
      <c r="F138" s="409" t="s">
        <v>620</v>
      </c>
      <c r="G138" s="409" t="s">
        <v>306</v>
      </c>
      <c r="H138" s="409" t="s">
        <v>571</v>
      </c>
      <c r="I138" s="409" t="s">
        <v>620</v>
      </c>
      <c r="J138" s="409" t="s">
        <v>621</v>
      </c>
      <c r="K138" s="409" t="s">
        <v>622</v>
      </c>
      <c r="L138" s="409" t="s">
        <v>350</v>
      </c>
      <c r="M138" s="409" t="s">
        <v>350</v>
      </c>
      <c r="N138" s="409"/>
      <c r="O138" s="409" t="s">
        <v>285</v>
      </c>
      <c r="P138" s="409" t="s">
        <v>286</v>
      </c>
      <c r="Q138" s="409"/>
      <c r="R138" s="409" t="s">
        <v>624</v>
      </c>
      <c r="S138" s="409"/>
      <c r="T138" s="409" t="s">
        <v>941</v>
      </c>
      <c r="U138" s="393" t="s">
        <v>794</v>
      </c>
      <c r="V138" s="394"/>
      <c r="W138" s="393" t="s">
        <v>794</v>
      </c>
      <c r="X138" s="393"/>
      <c r="Y138" s="395"/>
      <c r="Z138" s="393"/>
      <c r="AA138" s="396"/>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row>
    <row r="139" spans="1:65" s="412" customFormat="1" ht="60" x14ac:dyDescent="0.25">
      <c r="A139" s="390">
        <v>26</v>
      </c>
      <c r="B139" s="409" t="s">
        <v>148</v>
      </c>
      <c r="C139" s="409"/>
      <c r="D139" s="409" t="s">
        <v>633</v>
      </c>
      <c r="E139" s="409" t="s">
        <v>569</v>
      </c>
      <c r="F139" s="409" t="s">
        <v>634</v>
      </c>
      <c r="G139" s="409" t="s">
        <v>279</v>
      </c>
      <c r="H139" s="409" t="s">
        <v>571</v>
      </c>
      <c r="I139" s="409" t="s">
        <v>634</v>
      </c>
      <c r="J139" s="409" t="s">
        <v>635</v>
      </c>
      <c r="K139" s="409" t="s">
        <v>636</v>
      </c>
      <c r="L139" s="409" t="s">
        <v>350</v>
      </c>
      <c r="M139" s="409" t="s">
        <v>350</v>
      </c>
      <c r="N139" s="409"/>
      <c r="O139" s="409" t="s">
        <v>285</v>
      </c>
      <c r="P139" s="409" t="s">
        <v>407</v>
      </c>
      <c r="Q139" s="409"/>
      <c r="R139" s="409" t="s">
        <v>624</v>
      </c>
      <c r="S139" s="409"/>
      <c r="T139" s="409" t="s">
        <v>941</v>
      </c>
      <c r="U139" s="393" t="s">
        <v>794</v>
      </c>
      <c r="V139" s="394"/>
      <c r="W139" s="393" t="s">
        <v>794</v>
      </c>
      <c r="X139" s="393"/>
      <c r="Y139" s="395"/>
      <c r="Z139" s="393"/>
      <c r="AA139" s="396"/>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row>
    <row r="140" spans="1:65" s="469" customFormat="1" ht="108" x14ac:dyDescent="0.25">
      <c r="A140" s="444">
        <v>27</v>
      </c>
      <c r="B140" s="141" t="s">
        <v>149</v>
      </c>
      <c r="C140" s="141"/>
      <c r="D140" s="141" t="s">
        <v>637</v>
      </c>
      <c r="E140" s="141" t="s">
        <v>569</v>
      </c>
      <c r="F140" s="141" t="s">
        <v>634</v>
      </c>
      <c r="G140" s="141" t="s">
        <v>279</v>
      </c>
      <c r="H140" s="141" t="s">
        <v>571</v>
      </c>
      <c r="I140" s="141" t="s">
        <v>634</v>
      </c>
      <c r="J140" s="141" t="s">
        <v>913</v>
      </c>
      <c r="K140" s="141" t="s">
        <v>636</v>
      </c>
      <c r="L140" s="141" t="s">
        <v>350</v>
      </c>
      <c r="M140" s="141" t="s">
        <v>350</v>
      </c>
      <c r="N140" s="141"/>
      <c r="O140" s="141" t="s">
        <v>285</v>
      </c>
      <c r="P140" s="141" t="s">
        <v>286</v>
      </c>
      <c r="Q140" s="141"/>
      <c r="R140" s="141" t="s">
        <v>624</v>
      </c>
      <c r="S140" s="141"/>
      <c r="T140" s="141" t="s">
        <v>949</v>
      </c>
      <c r="U140" s="189" t="s">
        <v>794</v>
      </c>
      <c r="V140" s="213" t="s">
        <v>794</v>
      </c>
      <c r="W140" s="189"/>
      <c r="X140" s="189"/>
      <c r="Y140" s="214"/>
      <c r="Z140" s="189"/>
      <c r="AA140" s="189"/>
      <c r="AB140" s="840">
        <v>2001</v>
      </c>
      <c r="AC140" s="840"/>
      <c r="AD140" s="840"/>
      <c r="AE140" s="840"/>
      <c r="AF140" s="840"/>
      <c r="AG140" s="840"/>
      <c r="AH140" s="840"/>
      <c r="AI140" s="769"/>
      <c r="AJ140" s="840">
        <v>2011</v>
      </c>
      <c r="AK140" s="840"/>
      <c r="AL140" s="840"/>
      <c r="AM140" s="840"/>
      <c r="AN140" s="840"/>
      <c r="AO140" s="840"/>
      <c r="AP140" s="839"/>
      <c r="AQ140" s="839"/>
      <c r="AR140" s="839"/>
      <c r="AS140" s="839"/>
      <c r="AT140" s="839"/>
      <c r="AU140" s="839"/>
      <c r="AV140" s="839"/>
      <c r="AW140" s="839"/>
      <c r="AX140" s="839"/>
      <c r="AY140" s="839"/>
      <c r="AZ140" s="839"/>
      <c r="BA140" s="839"/>
      <c r="BB140" s="839"/>
      <c r="BC140" s="839"/>
      <c r="BD140" s="839"/>
      <c r="BE140" s="839"/>
      <c r="BF140" s="839"/>
      <c r="BG140" s="839"/>
      <c r="BH140" s="839"/>
      <c r="BI140" s="839"/>
      <c r="BJ140" s="839"/>
      <c r="BK140" s="839"/>
      <c r="BL140" s="839"/>
      <c r="BM140" s="839"/>
    </row>
    <row r="141" spans="1:65" s="469" customFormat="1" ht="15.75" x14ac:dyDescent="0.25">
      <c r="A141" s="444"/>
      <c r="B141" s="141"/>
      <c r="C141" s="141"/>
      <c r="D141" s="141"/>
      <c r="E141" s="141"/>
      <c r="F141" s="141"/>
      <c r="G141" s="141"/>
      <c r="H141" s="141"/>
      <c r="I141" s="141"/>
      <c r="J141" s="141"/>
      <c r="K141" s="141"/>
      <c r="L141" s="141"/>
      <c r="M141" s="141"/>
      <c r="N141" s="141"/>
      <c r="O141" s="141"/>
      <c r="P141" s="141"/>
      <c r="Q141" s="141"/>
      <c r="R141" s="141"/>
      <c r="S141" s="141"/>
      <c r="T141" s="141"/>
      <c r="U141" s="189"/>
      <c r="V141" s="213"/>
      <c r="W141" s="189"/>
      <c r="X141" s="189"/>
      <c r="Y141" s="214"/>
      <c r="Z141" s="189"/>
      <c r="AA141" s="189"/>
      <c r="AB141" s="841" t="s">
        <v>911</v>
      </c>
      <c r="AC141" s="841"/>
      <c r="AD141" s="841"/>
      <c r="AE141" s="770"/>
      <c r="AF141" s="841" t="s">
        <v>912</v>
      </c>
      <c r="AG141" s="841"/>
      <c r="AH141" s="841"/>
      <c r="AI141" s="770"/>
      <c r="AJ141" s="841" t="s">
        <v>911</v>
      </c>
      <c r="AK141" s="841"/>
      <c r="AL141" s="841"/>
      <c r="AM141" s="770"/>
      <c r="AN141" s="841" t="s">
        <v>912</v>
      </c>
      <c r="AO141" s="841"/>
      <c r="AP141" s="839"/>
      <c r="AQ141" s="839"/>
      <c r="AR141" s="839"/>
      <c r="AS141" s="839"/>
      <c r="AT141" s="839"/>
      <c r="AU141" s="839"/>
      <c r="AV141" s="839"/>
      <c r="AW141" s="839"/>
      <c r="AX141" s="839"/>
      <c r="AY141" s="839"/>
      <c r="AZ141" s="839"/>
      <c r="BA141" s="839"/>
      <c r="BB141" s="839"/>
      <c r="BC141" s="839"/>
      <c r="BD141" s="839"/>
      <c r="BE141" s="839"/>
      <c r="BF141" s="839"/>
      <c r="BG141" s="839"/>
      <c r="BH141" s="839"/>
      <c r="BI141" s="839"/>
      <c r="BJ141" s="839"/>
      <c r="BK141" s="839"/>
      <c r="BL141" s="839"/>
      <c r="BM141" s="839"/>
    </row>
    <row r="142" spans="1:65" s="469" customFormat="1" ht="15.75" x14ac:dyDescent="0.25">
      <c r="A142" s="444"/>
      <c r="D142" s="141"/>
      <c r="E142" s="141"/>
      <c r="F142" s="141"/>
      <c r="G142" s="141"/>
      <c r="H142" s="141"/>
      <c r="I142" s="141"/>
      <c r="J142" s="141"/>
      <c r="K142" s="141"/>
      <c r="L142" s="141"/>
      <c r="M142" s="141"/>
      <c r="N142" s="141"/>
      <c r="O142" s="141"/>
      <c r="P142" s="141"/>
      <c r="Q142" s="141"/>
      <c r="R142" s="141"/>
      <c r="S142" s="141"/>
      <c r="T142" s="141"/>
      <c r="U142" s="189"/>
      <c r="V142" s="213"/>
      <c r="W142" s="189"/>
      <c r="X142" s="189"/>
      <c r="Y142" s="214"/>
      <c r="Z142" s="189"/>
      <c r="AA142" s="189"/>
      <c r="AB142" s="541" t="s">
        <v>821</v>
      </c>
      <c r="AC142" s="770"/>
      <c r="AD142" s="541" t="s">
        <v>909</v>
      </c>
      <c r="AE142" s="770"/>
      <c r="AF142" s="541" t="s">
        <v>910</v>
      </c>
      <c r="AG142" s="770"/>
      <c r="AH142" s="541" t="s">
        <v>909</v>
      </c>
      <c r="AI142" s="770"/>
      <c r="AJ142" s="541" t="s">
        <v>821</v>
      </c>
      <c r="AK142" s="770"/>
      <c r="AL142" s="541" t="s">
        <v>909</v>
      </c>
      <c r="AM142" s="770"/>
      <c r="AN142" s="541" t="s">
        <v>910</v>
      </c>
      <c r="AO142" s="541" t="s">
        <v>909</v>
      </c>
      <c r="AP142" s="514"/>
      <c r="AQ142" s="514"/>
      <c r="AR142" s="514"/>
      <c r="AS142" s="514"/>
      <c r="AT142" s="514"/>
      <c r="AU142" s="514"/>
      <c r="AV142" s="514"/>
      <c r="AW142" s="514"/>
      <c r="AX142" s="514"/>
      <c r="AY142" s="514"/>
      <c r="AZ142" s="514"/>
      <c r="BA142" s="514"/>
      <c r="BB142" s="514"/>
      <c r="BC142" s="514"/>
      <c r="BD142" s="514"/>
      <c r="BE142" s="514"/>
      <c r="BF142" s="514"/>
      <c r="BG142" s="514"/>
      <c r="BH142" s="514"/>
      <c r="BI142" s="514"/>
      <c r="BJ142" s="514"/>
      <c r="BK142" s="514"/>
      <c r="BL142" s="514"/>
      <c r="BM142" s="514"/>
    </row>
    <row r="143" spans="1:65" s="469" customFormat="1" ht="15.75" x14ac:dyDescent="0.25">
      <c r="A143" s="444"/>
      <c r="B143" s="252" t="s">
        <v>3</v>
      </c>
      <c r="C143" s="252"/>
      <c r="D143" s="141"/>
      <c r="E143" s="141"/>
      <c r="F143" s="141"/>
      <c r="G143" s="141"/>
      <c r="H143" s="141"/>
      <c r="I143" s="141"/>
      <c r="J143" s="141"/>
      <c r="K143" s="141"/>
      <c r="L143" s="141"/>
      <c r="M143" s="141"/>
      <c r="N143" s="141"/>
      <c r="O143" s="141"/>
      <c r="P143" s="141"/>
      <c r="Q143" s="141"/>
      <c r="R143" s="141"/>
      <c r="S143" s="141"/>
      <c r="T143" s="141"/>
      <c r="U143" s="189"/>
      <c r="V143" s="213"/>
      <c r="W143" s="189"/>
      <c r="X143" s="189"/>
      <c r="Y143" s="214"/>
      <c r="Z143" s="189"/>
      <c r="AA143" s="215"/>
      <c r="AB143" s="515">
        <v>6.2600000000000003E-2</v>
      </c>
      <c r="AC143" s="515"/>
      <c r="AD143" s="517">
        <v>1.6500000000000001E-2</v>
      </c>
      <c r="AE143" s="515"/>
      <c r="AF143" s="515">
        <v>6.4999999999999997E-3</v>
      </c>
      <c r="AG143" s="515"/>
      <c r="AH143" s="517">
        <v>2.8999999999999998E-3</v>
      </c>
      <c r="AI143" s="778"/>
      <c r="AJ143" s="556">
        <v>1</v>
      </c>
      <c r="AK143" s="779"/>
      <c r="AL143" s="557">
        <v>2</v>
      </c>
      <c r="AM143" s="779"/>
      <c r="AN143" s="556">
        <v>0</v>
      </c>
      <c r="AO143" s="557">
        <v>0</v>
      </c>
      <c r="AP143" s="275"/>
      <c r="AQ143" s="275"/>
      <c r="AR143" s="275"/>
      <c r="AS143" s="275"/>
      <c r="AT143" s="275"/>
      <c r="AU143" s="275"/>
      <c r="AV143" s="275"/>
      <c r="AW143" s="275"/>
      <c r="AX143" s="275"/>
      <c r="AY143" s="275"/>
      <c r="AZ143" s="275"/>
      <c r="BA143" s="275"/>
      <c r="BB143" s="275"/>
      <c r="BC143" s="275"/>
    </row>
    <row r="144" spans="1:65" s="469" customFormat="1" ht="15.75" x14ac:dyDescent="0.25">
      <c r="A144" s="444"/>
      <c r="B144" s="252" t="s">
        <v>4</v>
      </c>
      <c r="C144" s="252"/>
      <c r="D144" s="141"/>
      <c r="E144" s="141"/>
      <c r="F144" s="141"/>
      <c r="G144" s="141"/>
      <c r="H144" s="141"/>
      <c r="I144" s="141"/>
      <c r="J144" s="141"/>
      <c r="K144" s="141"/>
      <c r="L144" s="141"/>
      <c r="M144" s="141"/>
      <c r="N144" s="141"/>
      <c r="O144" s="141"/>
      <c r="P144" s="141"/>
      <c r="Q144" s="141"/>
      <c r="R144" s="141"/>
      <c r="S144" s="141"/>
      <c r="T144" s="141"/>
      <c r="U144" s="189"/>
      <c r="V144" s="213"/>
      <c r="W144" s="189"/>
      <c r="X144" s="189"/>
      <c r="Y144" s="214"/>
      <c r="Z144" s="189"/>
      <c r="AA144" s="215"/>
      <c r="AB144" s="515">
        <v>9.3100000000000002E-2</v>
      </c>
      <c r="AC144" s="515"/>
      <c r="AD144" s="518">
        <v>2.9000000000000001E-2</v>
      </c>
      <c r="AE144" s="515"/>
      <c r="AF144" s="515">
        <v>8.0999999999999996E-3</v>
      </c>
      <c r="AG144" s="515"/>
      <c r="AH144" s="518">
        <v>1.03E-2</v>
      </c>
      <c r="AI144" s="515"/>
      <c r="AJ144" s="558">
        <v>1</v>
      </c>
      <c r="AK144" s="780"/>
      <c r="AL144" s="559">
        <v>4</v>
      </c>
      <c r="AM144" s="780"/>
      <c r="AN144" s="558">
        <v>0</v>
      </c>
      <c r="AO144" s="559">
        <v>1</v>
      </c>
      <c r="AP144" s="275"/>
      <c r="AQ144" s="275"/>
      <c r="AR144" s="275"/>
      <c r="AS144" s="275"/>
      <c r="AT144" s="275"/>
      <c r="AU144" s="275"/>
      <c r="AV144" s="275"/>
      <c r="AW144" s="275"/>
      <c r="AX144" s="275"/>
      <c r="AY144" s="275"/>
      <c r="AZ144" s="275"/>
      <c r="BA144" s="275"/>
      <c r="BB144" s="275"/>
      <c r="BC144" s="275"/>
    </row>
    <row r="145" spans="1:59" s="469" customFormat="1" ht="15.75" x14ac:dyDescent="0.25">
      <c r="A145" s="444"/>
      <c r="B145" s="252" t="s">
        <v>5</v>
      </c>
      <c r="C145" s="252"/>
      <c r="D145" s="141"/>
      <c r="E145" s="141"/>
      <c r="F145" s="141"/>
      <c r="G145" s="141"/>
      <c r="H145" s="141"/>
      <c r="I145" s="141"/>
      <c r="J145" s="141"/>
      <c r="K145" s="141"/>
      <c r="L145" s="141"/>
      <c r="M145" s="141"/>
      <c r="N145" s="141"/>
      <c r="O145" s="141"/>
      <c r="P145" s="141"/>
      <c r="Q145" s="141"/>
      <c r="R145" s="141"/>
      <c r="S145" s="141"/>
      <c r="T145" s="141"/>
      <c r="U145" s="189"/>
      <c r="V145" s="213"/>
      <c r="W145" s="189"/>
      <c r="X145" s="189"/>
      <c r="Y145" s="214"/>
      <c r="Z145" s="189"/>
      <c r="AA145" s="215"/>
      <c r="AB145" s="515">
        <v>2.5000000000000001E-3</v>
      </c>
      <c r="AC145" s="515"/>
      <c r="AD145" s="518">
        <v>2.2499999999999999E-2</v>
      </c>
      <c r="AE145" s="515"/>
      <c r="AF145" s="515">
        <v>2.2000000000000001E-3</v>
      </c>
      <c r="AG145" s="515"/>
      <c r="AH145" s="518">
        <v>3.5999999999999999E-3</v>
      </c>
      <c r="AI145" s="515"/>
      <c r="AJ145" s="558">
        <v>0</v>
      </c>
      <c r="AK145" s="780"/>
      <c r="AL145" s="559">
        <v>2</v>
      </c>
      <c r="AM145" s="780"/>
      <c r="AN145" s="558">
        <v>0</v>
      </c>
      <c r="AO145" s="559">
        <v>0</v>
      </c>
      <c r="AP145" s="275"/>
      <c r="AQ145" s="275"/>
      <c r="AR145" s="275"/>
      <c r="AS145" s="275"/>
      <c r="AT145" s="275"/>
      <c r="AU145" s="275"/>
      <c r="AV145" s="275"/>
      <c r="AW145" s="275"/>
      <c r="AX145" s="275"/>
      <c r="AY145" s="275"/>
      <c r="AZ145" s="275"/>
      <c r="BA145" s="275"/>
      <c r="BB145" s="275"/>
      <c r="BC145" s="275"/>
    </row>
    <row r="146" spans="1:59" s="469" customFormat="1" ht="15.75" x14ac:dyDescent="0.25">
      <c r="A146" s="444"/>
      <c r="B146" s="252" t="s">
        <v>251</v>
      </c>
      <c r="C146" s="252"/>
      <c r="D146" s="141"/>
      <c r="E146" s="141"/>
      <c r="F146" s="141"/>
      <c r="G146" s="141"/>
      <c r="H146" s="141"/>
      <c r="I146" s="141"/>
      <c r="J146" s="141"/>
      <c r="K146" s="141"/>
      <c r="L146" s="141"/>
      <c r="M146" s="141"/>
      <c r="N146" s="141"/>
      <c r="O146" s="141"/>
      <c r="P146" s="141"/>
      <c r="Q146" s="141"/>
      <c r="R146" s="141"/>
      <c r="S146" s="141"/>
      <c r="T146" s="141"/>
      <c r="U146" s="189"/>
      <c r="V146" s="213"/>
      <c r="W146" s="189"/>
      <c r="X146" s="189"/>
      <c r="Y146" s="214"/>
      <c r="Z146" s="189"/>
      <c r="AA146" s="215"/>
      <c r="AB146" s="515">
        <v>5.7000000000000002E-3</v>
      </c>
      <c r="AC146" s="515"/>
      <c r="AD146" s="518">
        <v>7.0400000000000004E-2</v>
      </c>
      <c r="AE146" s="515"/>
      <c r="AF146" s="516">
        <v>3.2000000000000002E-3</v>
      </c>
      <c r="AG146" s="516"/>
      <c r="AH146" s="518">
        <v>2.4E-2</v>
      </c>
      <c r="AI146" s="515"/>
      <c r="AJ146" s="558">
        <v>0</v>
      </c>
      <c r="AK146" s="780"/>
      <c r="AL146" s="559">
        <v>3</v>
      </c>
      <c r="AM146" s="780"/>
      <c r="AN146" s="558">
        <v>0</v>
      </c>
      <c r="AO146" s="559">
        <v>1</v>
      </c>
      <c r="AP146" s="275"/>
      <c r="AQ146" s="275"/>
      <c r="AR146" s="275"/>
      <c r="AS146" s="275"/>
      <c r="AT146" s="275"/>
      <c r="AU146" s="275"/>
      <c r="AV146" s="275"/>
      <c r="AW146" s="275"/>
      <c r="AX146" s="275"/>
      <c r="AY146" s="275"/>
      <c r="AZ146" s="275"/>
      <c r="BA146" s="275"/>
      <c r="BB146" s="275"/>
      <c r="BC146" s="275"/>
    </row>
    <row r="147" spans="1:59" s="469" customFormat="1" ht="15" customHeight="1" x14ac:dyDescent="0.25">
      <c r="A147" s="444"/>
      <c r="B147" s="252" t="s">
        <v>252</v>
      </c>
      <c r="C147" s="252"/>
      <c r="D147" s="141"/>
      <c r="E147" s="141"/>
      <c r="F147" s="141"/>
      <c r="G147" s="141"/>
      <c r="H147" s="141"/>
      <c r="I147" s="141"/>
      <c r="J147" s="141"/>
      <c r="K147" s="141"/>
      <c r="L147" s="141"/>
      <c r="M147" s="141"/>
      <c r="N147" s="141"/>
      <c r="O147" s="141"/>
      <c r="P147" s="141"/>
      <c r="Q147" s="141"/>
      <c r="R147" s="141"/>
      <c r="S147" s="141"/>
      <c r="T147" s="141"/>
      <c r="U147" s="189"/>
      <c r="V147" s="213"/>
      <c r="W147" s="189"/>
      <c r="X147" s="189"/>
      <c r="Y147" s="214"/>
      <c r="Z147" s="189"/>
      <c r="AA147" s="215"/>
      <c r="AB147" s="515">
        <v>0.19120000000000001</v>
      </c>
      <c r="AC147" s="515"/>
      <c r="AD147" s="518">
        <v>1.44E-2</v>
      </c>
      <c r="AE147" s="515"/>
      <c r="AF147" s="515">
        <v>6.93E-2</v>
      </c>
      <c r="AG147" s="515"/>
      <c r="AH147" s="518">
        <v>3.3E-3</v>
      </c>
      <c r="AI147" s="515"/>
      <c r="AJ147" s="558">
        <v>7</v>
      </c>
      <c r="AK147" s="780"/>
      <c r="AL147" s="559">
        <v>3</v>
      </c>
      <c r="AM147" s="780"/>
      <c r="AN147" s="558">
        <v>1</v>
      </c>
      <c r="AO147" s="559">
        <v>0</v>
      </c>
      <c r="AP147" s="275"/>
      <c r="AQ147" s="275"/>
      <c r="AR147" s="275"/>
      <c r="AS147" s="275"/>
      <c r="AT147" s="275"/>
      <c r="AU147" s="275"/>
      <c r="AV147" s="275"/>
      <c r="AW147" s="275"/>
      <c r="AX147" s="275"/>
      <c r="AY147" s="275"/>
      <c r="AZ147" s="275"/>
      <c r="BA147" s="275"/>
      <c r="BB147" s="275"/>
      <c r="BC147" s="275"/>
    </row>
    <row r="148" spans="1:59" s="469" customFormat="1" ht="16.5" customHeight="1" x14ac:dyDescent="0.25">
      <c r="A148" s="444"/>
      <c r="B148" s="252" t="s">
        <v>6</v>
      </c>
      <c r="C148" s="252"/>
      <c r="D148" s="141"/>
      <c r="E148" s="141"/>
      <c r="F148" s="141"/>
      <c r="G148" s="141"/>
      <c r="H148" s="141"/>
      <c r="I148" s="141"/>
      <c r="J148" s="141"/>
      <c r="K148" s="141"/>
      <c r="L148" s="141"/>
      <c r="M148" s="141"/>
      <c r="N148" s="141"/>
      <c r="O148" s="141"/>
      <c r="P148" s="141"/>
      <c r="Q148" s="141"/>
      <c r="R148" s="141"/>
      <c r="S148" s="141"/>
      <c r="T148" s="141"/>
      <c r="U148" s="189"/>
      <c r="V148" s="213"/>
      <c r="W148" s="189"/>
      <c r="X148" s="189"/>
      <c r="Y148" s="214"/>
      <c r="Z148" s="189"/>
      <c r="AA148" s="215"/>
      <c r="AB148" s="515">
        <v>2.8E-3</v>
      </c>
      <c r="AC148" s="515"/>
      <c r="AD148" s="518">
        <v>3.7199999999999997E-2</v>
      </c>
      <c r="AE148" s="515"/>
      <c r="AF148" s="515">
        <v>2E-3</v>
      </c>
      <c r="AG148" s="515"/>
      <c r="AH148" s="518">
        <v>9.1999999999999998E-3</v>
      </c>
      <c r="AI148" s="515"/>
      <c r="AJ148" s="558">
        <v>0</v>
      </c>
      <c r="AK148" s="780"/>
      <c r="AL148" s="559">
        <v>2</v>
      </c>
      <c r="AM148" s="780"/>
      <c r="AN148" s="558">
        <v>0</v>
      </c>
      <c r="AO148" s="559">
        <v>1</v>
      </c>
      <c r="AP148" s="275"/>
      <c r="AQ148" s="275"/>
      <c r="AR148" s="275"/>
      <c r="AS148" s="275"/>
      <c r="AT148" s="275"/>
      <c r="AU148" s="275"/>
      <c r="AV148" s="275"/>
      <c r="AW148" s="275"/>
      <c r="AX148" s="275"/>
      <c r="AY148" s="275"/>
      <c r="AZ148" s="275"/>
      <c r="BA148" s="275"/>
      <c r="BB148" s="275"/>
      <c r="BC148" s="275"/>
    </row>
    <row r="149" spans="1:59" s="469" customFormat="1" ht="15.75" x14ac:dyDescent="0.25">
      <c r="A149" s="444"/>
      <c r="B149" s="252" t="s">
        <v>8</v>
      </c>
      <c r="C149" s="252"/>
      <c r="D149" s="141"/>
      <c r="E149" s="141"/>
      <c r="F149" s="141"/>
      <c r="G149" s="141"/>
      <c r="H149" s="141"/>
      <c r="I149" s="141"/>
      <c r="J149" s="141"/>
      <c r="K149" s="141"/>
      <c r="L149" s="141"/>
      <c r="M149" s="141"/>
      <c r="N149" s="141"/>
      <c r="O149" s="141"/>
      <c r="P149" s="141"/>
      <c r="Q149" s="141"/>
      <c r="R149" s="141"/>
      <c r="S149" s="141"/>
      <c r="T149" s="141"/>
      <c r="U149" s="189"/>
      <c r="V149" s="213"/>
      <c r="W149" s="189"/>
      <c r="X149" s="189"/>
      <c r="Y149" s="214"/>
      <c r="Z149" s="189"/>
      <c r="AA149" s="215"/>
      <c r="AB149" s="515">
        <v>6.1000000000000004E-3</v>
      </c>
      <c r="AC149" s="515"/>
      <c r="AD149" s="518">
        <v>0.1099</v>
      </c>
      <c r="AE149" s="515"/>
      <c r="AF149" s="515">
        <v>2.7000000000000001E-3</v>
      </c>
      <c r="AG149" s="515"/>
      <c r="AH149" s="518">
        <v>6.6900000000000001E-2</v>
      </c>
      <c r="AI149" s="515"/>
      <c r="AJ149" s="558">
        <v>1</v>
      </c>
      <c r="AK149" s="780"/>
      <c r="AL149" s="559">
        <v>5</v>
      </c>
      <c r="AM149" s="780"/>
      <c r="AN149" s="558">
        <v>0</v>
      </c>
      <c r="AO149" s="559">
        <v>3</v>
      </c>
      <c r="AP149" s="275"/>
      <c r="AQ149" s="275"/>
      <c r="AR149" s="275"/>
      <c r="AS149" s="275"/>
      <c r="AT149" s="275"/>
      <c r="AU149" s="275"/>
      <c r="AV149" s="275"/>
      <c r="AW149" s="275"/>
      <c r="AX149" s="275"/>
      <c r="AY149" s="275"/>
      <c r="AZ149" s="275"/>
      <c r="BA149" s="275"/>
      <c r="BB149" s="275"/>
      <c r="BC149" s="275"/>
    </row>
    <row r="150" spans="1:59" s="469" customFormat="1" ht="15.75" x14ac:dyDescent="0.25">
      <c r="A150" s="444"/>
      <c r="B150" s="252" t="s">
        <v>7</v>
      </c>
      <c r="C150" s="252"/>
      <c r="D150" s="141"/>
      <c r="E150" s="141"/>
      <c r="F150" s="141"/>
      <c r="G150" s="141"/>
      <c r="H150" s="141"/>
      <c r="I150" s="141"/>
      <c r="J150" s="141"/>
      <c r="K150" s="141"/>
      <c r="L150" s="141"/>
      <c r="M150" s="141"/>
      <c r="N150" s="141"/>
      <c r="O150" s="141"/>
      <c r="P150" s="141"/>
      <c r="Q150" s="141"/>
      <c r="R150" s="141"/>
      <c r="S150" s="141"/>
      <c r="T150" s="141"/>
      <c r="U150" s="189"/>
      <c r="V150" s="213"/>
      <c r="W150" s="189"/>
      <c r="X150" s="189"/>
      <c r="Y150" s="214"/>
      <c r="Z150" s="189"/>
      <c r="AA150" s="215"/>
      <c r="AB150" s="515">
        <v>4.6800000000000001E-2</v>
      </c>
      <c r="AC150" s="515"/>
      <c r="AD150" s="518">
        <v>3.7900000000000003E-2</v>
      </c>
      <c r="AE150" s="515"/>
      <c r="AF150" s="515">
        <v>5.0000000000000001E-3</v>
      </c>
      <c r="AG150" s="515"/>
      <c r="AH150" s="518">
        <v>1.35E-2</v>
      </c>
      <c r="AI150" s="515"/>
      <c r="AJ150" s="558">
        <v>1</v>
      </c>
      <c r="AK150" s="780"/>
      <c r="AL150" s="559">
        <v>2</v>
      </c>
      <c r="AM150" s="780"/>
      <c r="AN150" s="558">
        <v>0</v>
      </c>
      <c r="AO150" s="559">
        <v>0</v>
      </c>
      <c r="AP150" s="275"/>
      <c r="AQ150" s="275"/>
      <c r="AR150" s="275"/>
      <c r="AS150" s="275"/>
      <c r="AT150" s="275"/>
      <c r="AU150" s="275"/>
      <c r="AV150" s="275"/>
      <c r="AW150" s="275"/>
      <c r="AX150" s="275"/>
      <c r="AY150" s="275"/>
      <c r="AZ150" s="275"/>
      <c r="BA150" s="275"/>
      <c r="BB150" s="275"/>
      <c r="BC150" s="275"/>
    </row>
    <row r="151" spans="1:59" s="469" customFormat="1" ht="15.75" x14ac:dyDescent="0.25">
      <c r="A151" s="444"/>
      <c r="B151" s="494" t="s">
        <v>800</v>
      </c>
      <c r="C151" s="494"/>
      <c r="D151" s="141"/>
      <c r="E151" s="141"/>
      <c r="F151" s="141"/>
      <c r="G151" s="141"/>
      <c r="H151" s="141"/>
      <c r="I151" s="141"/>
      <c r="J151" s="141"/>
      <c r="K151" s="141"/>
      <c r="L151" s="141"/>
      <c r="M151" s="141"/>
      <c r="N151" s="141"/>
      <c r="O151" s="141"/>
      <c r="P151" s="141"/>
      <c r="Q151" s="141"/>
      <c r="R151" s="141"/>
      <c r="S151" s="141"/>
      <c r="T151" s="141"/>
      <c r="U151" s="189"/>
      <c r="V151" s="213"/>
      <c r="W151" s="189"/>
      <c r="X151" s="189"/>
      <c r="Y151" s="214"/>
      <c r="Z151" s="189"/>
      <c r="AA151" s="215"/>
      <c r="AB151" s="515">
        <v>6.4000000000000003E-3</v>
      </c>
      <c r="AC151" s="515"/>
      <c r="AD151" s="518">
        <v>0.17369999999999999</v>
      </c>
      <c r="AE151" s="515"/>
      <c r="AF151" s="515">
        <v>4.5999999999999999E-3</v>
      </c>
      <c r="AG151" s="515"/>
      <c r="AH151" s="518">
        <v>9.4E-2</v>
      </c>
      <c r="AI151" s="515"/>
      <c r="AJ151" s="560"/>
      <c r="AK151" s="4"/>
      <c r="AL151" s="477"/>
      <c r="AM151" s="4"/>
      <c r="AN151" s="560"/>
      <c r="AO151" s="477"/>
      <c r="AP151" s="275"/>
      <c r="AQ151" s="275"/>
      <c r="AR151" s="275"/>
      <c r="AS151" s="275"/>
      <c r="AT151" s="275"/>
      <c r="AU151" s="275"/>
      <c r="AV151" s="275"/>
      <c r="AW151" s="275"/>
      <c r="AX151" s="275"/>
      <c r="AY151" s="275"/>
      <c r="AZ151" s="275"/>
      <c r="BA151" s="275"/>
      <c r="BB151" s="275"/>
      <c r="BC151" s="275"/>
    </row>
    <row r="152" spans="1:59" ht="60" x14ac:dyDescent="0.25">
      <c r="A152" s="85">
        <v>28</v>
      </c>
      <c r="B152" s="130" t="s">
        <v>150</v>
      </c>
      <c r="C152" s="130"/>
      <c r="D152" s="130" t="s">
        <v>638</v>
      </c>
      <c r="E152" s="130" t="s">
        <v>569</v>
      </c>
      <c r="F152" s="130" t="s">
        <v>634</v>
      </c>
      <c r="G152" s="130" t="s">
        <v>279</v>
      </c>
      <c r="H152" s="130" t="s">
        <v>571</v>
      </c>
      <c r="I152" s="130" t="s">
        <v>634</v>
      </c>
      <c r="J152" s="130" t="s">
        <v>635</v>
      </c>
      <c r="K152" s="130" t="s">
        <v>636</v>
      </c>
      <c r="L152" s="130" t="s">
        <v>350</v>
      </c>
      <c r="M152" s="130" t="s">
        <v>350</v>
      </c>
      <c r="N152" s="130"/>
      <c r="O152" s="130" t="s">
        <v>285</v>
      </c>
      <c r="P152" s="130" t="s">
        <v>286</v>
      </c>
      <c r="Q152" s="130"/>
      <c r="R152" s="130" t="s">
        <v>624</v>
      </c>
      <c r="S152" s="130"/>
      <c r="T152" s="130" t="s">
        <v>950</v>
      </c>
      <c r="U152" s="189"/>
      <c r="V152" s="213"/>
      <c r="W152" s="189" t="s">
        <v>794</v>
      </c>
      <c r="X152" s="189"/>
      <c r="Y152" s="214"/>
      <c r="Z152" s="189"/>
      <c r="AA152" s="215"/>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row>
    <row r="153" spans="1:59" ht="36" x14ac:dyDescent="0.25">
      <c r="A153" s="85">
        <v>29</v>
      </c>
      <c r="B153" s="130" t="s">
        <v>151</v>
      </c>
      <c r="C153" s="130"/>
      <c r="D153" s="130" t="s">
        <v>639</v>
      </c>
      <c r="E153" s="130" t="s">
        <v>569</v>
      </c>
      <c r="F153" s="130" t="s">
        <v>640</v>
      </c>
      <c r="G153" s="130" t="s">
        <v>279</v>
      </c>
      <c r="H153" s="130" t="s">
        <v>571</v>
      </c>
      <c r="I153" s="130" t="s">
        <v>640</v>
      </c>
      <c r="J153" s="130" t="s">
        <v>641</v>
      </c>
      <c r="K153" s="130" t="s">
        <v>642</v>
      </c>
      <c r="L153" s="130" t="s">
        <v>643</v>
      </c>
      <c r="M153" s="130" t="s">
        <v>350</v>
      </c>
      <c r="N153" s="130"/>
      <c r="O153" s="130" t="s">
        <v>285</v>
      </c>
      <c r="P153" s="130" t="s">
        <v>286</v>
      </c>
      <c r="Q153" s="130"/>
      <c r="R153" s="130" t="s">
        <v>624</v>
      </c>
      <c r="S153" s="130"/>
      <c r="T153" s="130" t="s">
        <v>950</v>
      </c>
      <c r="U153" s="189"/>
      <c r="V153" s="213"/>
      <c r="W153" s="189" t="s">
        <v>794</v>
      </c>
      <c r="X153" s="189"/>
      <c r="Y153" s="214"/>
      <c r="Z153" s="189"/>
      <c r="AA153" s="215"/>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row>
    <row r="154" spans="1:59" ht="36" x14ac:dyDescent="0.25">
      <c r="A154" s="85">
        <v>30</v>
      </c>
      <c r="B154" s="130" t="s">
        <v>152</v>
      </c>
      <c r="C154" s="130"/>
      <c r="D154" s="130" t="s">
        <v>644</v>
      </c>
      <c r="E154" s="130" t="s">
        <v>569</v>
      </c>
      <c r="F154" s="130" t="s">
        <v>640</v>
      </c>
      <c r="G154" s="130" t="s">
        <v>306</v>
      </c>
      <c r="H154" s="130" t="s">
        <v>571</v>
      </c>
      <c r="I154" s="130" t="s">
        <v>640</v>
      </c>
      <c r="J154" s="130" t="s">
        <v>641</v>
      </c>
      <c r="K154" s="130" t="s">
        <v>645</v>
      </c>
      <c r="L154" s="130" t="s">
        <v>643</v>
      </c>
      <c r="M154" s="130" t="s">
        <v>350</v>
      </c>
      <c r="N154" s="130"/>
      <c r="O154" s="130" t="s">
        <v>285</v>
      </c>
      <c r="P154" s="130" t="s">
        <v>286</v>
      </c>
      <c r="Q154" s="130"/>
      <c r="R154" s="130" t="s">
        <v>624</v>
      </c>
      <c r="S154" s="130"/>
      <c r="T154" s="130" t="s">
        <v>950</v>
      </c>
      <c r="U154" s="189"/>
      <c r="V154" s="213"/>
      <c r="W154" s="189" t="s">
        <v>794</v>
      </c>
      <c r="X154" s="189"/>
      <c r="Y154" s="214"/>
      <c r="Z154" s="189"/>
      <c r="AA154" s="215"/>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row>
    <row r="155" spans="1:59" ht="36" x14ac:dyDescent="0.25">
      <c r="A155" s="85">
        <v>31</v>
      </c>
      <c r="B155" s="130" t="s">
        <v>153</v>
      </c>
      <c r="C155" s="130"/>
      <c r="D155" s="130" t="s">
        <v>646</v>
      </c>
      <c r="E155" s="130" t="s">
        <v>569</v>
      </c>
      <c r="F155" s="130" t="s">
        <v>640</v>
      </c>
      <c r="G155" s="130" t="s">
        <v>306</v>
      </c>
      <c r="H155" s="130" t="s">
        <v>571</v>
      </c>
      <c r="I155" s="130" t="s">
        <v>640</v>
      </c>
      <c r="J155" s="130" t="s">
        <v>641</v>
      </c>
      <c r="K155" s="130" t="s">
        <v>647</v>
      </c>
      <c r="L155" s="130" t="s">
        <v>643</v>
      </c>
      <c r="M155" s="130" t="s">
        <v>350</v>
      </c>
      <c r="N155" s="130"/>
      <c r="O155" s="130" t="s">
        <v>285</v>
      </c>
      <c r="P155" s="130" t="s">
        <v>286</v>
      </c>
      <c r="Q155" s="130"/>
      <c r="R155" s="130" t="s">
        <v>624</v>
      </c>
      <c r="S155" s="130"/>
      <c r="T155" s="130" t="s">
        <v>950</v>
      </c>
      <c r="U155" s="189"/>
      <c r="V155" s="213"/>
      <c r="W155" s="189" t="s">
        <v>794</v>
      </c>
      <c r="X155" s="189"/>
      <c r="Y155" s="214"/>
      <c r="Z155" s="189"/>
      <c r="AA155" s="215"/>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row>
    <row r="156" spans="1:59" s="412" customFormat="1" ht="36" x14ac:dyDescent="0.25">
      <c r="A156" s="390">
        <v>32</v>
      </c>
      <c r="B156" s="409" t="s">
        <v>154</v>
      </c>
      <c r="C156" s="409"/>
      <c r="D156" s="409" t="s">
        <v>648</v>
      </c>
      <c r="E156" s="409" t="s">
        <v>569</v>
      </c>
      <c r="F156" s="409" t="s">
        <v>649</v>
      </c>
      <c r="G156" s="409" t="s">
        <v>279</v>
      </c>
      <c r="H156" s="409" t="s">
        <v>571</v>
      </c>
      <c r="I156" s="409" t="s">
        <v>649</v>
      </c>
      <c r="J156" s="409" t="s">
        <v>650</v>
      </c>
      <c r="K156" s="409" t="s">
        <v>651</v>
      </c>
      <c r="L156" s="409" t="s">
        <v>350</v>
      </c>
      <c r="M156" s="409" t="s">
        <v>350</v>
      </c>
      <c r="N156" s="409"/>
      <c r="O156" s="409" t="s">
        <v>652</v>
      </c>
      <c r="P156" s="409" t="s">
        <v>286</v>
      </c>
      <c r="Q156" s="409"/>
      <c r="R156" s="409" t="s">
        <v>624</v>
      </c>
      <c r="S156" s="409"/>
      <c r="T156" s="414" t="s">
        <v>951</v>
      </c>
      <c r="U156" s="393" t="s">
        <v>794</v>
      </c>
      <c r="V156" s="394"/>
      <c r="W156" s="393" t="s">
        <v>794</v>
      </c>
      <c r="X156" s="393"/>
      <c r="Y156" s="395"/>
      <c r="Z156" s="393"/>
      <c r="AA156" s="396"/>
      <c r="AB156" s="410"/>
      <c r="AC156" s="410"/>
      <c r="AD156" s="410"/>
      <c r="AE156" s="410"/>
      <c r="AF156" s="410"/>
      <c r="AG156" s="410"/>
      <c r="AH156" s="410"/>
      <c r="AI156" s="410"/>
      <c r="AJ156" s="410"/>
      <c r="AK156" s="410"/>
      <c r="AL156" s="410"/>
      <c r="AM156" s="410"/>
      <c r="AN156" s="410"/>
      <c r="AO156" s="410"/>
      <c r="AP156" s="410"/>
      <c r="AQ156" s="410"/>
      <c r="AR156" s="410"/>
      <c r="AS156" s="410"/>
      <c r="AT156" s="410"/>
      <c r="AU156" s="410"/>
      <c r="AV156" s="410"/>
      <c r="AW156" s="410"/>
      <c r="AX156" s="410"/>
      <c r="AY156" s="410"/>
      <c r="AZ156" s="410"/>
      <c r="BA156" s="410"/>
      <c r="BB156" s="410"/>
      <c r="BC156" s="410"/>
      <c r="BD156" s="410"/>
      <c r="BE156" s="410"/>
      <c r="BF156" s="410"/>
      <c r="BG156" s="410"/>
    </row>
    <row r="157" spans="1:59" s="412" customFormat="1" ht="36" x14ac:dyDescent="0.25">
      <c r="A157" s="390">
        <v>33</v>
      </c>
      <c r="B157" s="409" t="s">
        <v>155</v>
      </c>
      <c r="C157" s="409"/>
      <c r="D157" s="409" t="s">
        <v>653</v>
      </c>
      <c r="E157" s="409" t="s">
        <v>569</v>
      </c>
      <c r="F157" s="409" t="s">
        <v>649</v>
      </c>
      <c r="G157" s="409" t="s">
        <v>279</v>
      </c>
      <c r="H157" s="409" t="s">
        <v>571</v>
      </c>
      <c r="I157" s="409" t="s">
        <v>649</v>
      </c>
      <c r="J157" s="409" t="s">
        <v>650</v>
      </c>
      <c r="K157" s="409" t="s">
        <v>651</v>
      </c>
      <c r="L157" s="409" t="s">
        <v>350</v>
      </c>
      <c r="M157" s="409" t="s">
        <v>350</v>
      </c>
      <c r="N157" s="409"/>
      <c r="O157" s="409" t="s">
        <v>652</v>
      </c>
      <c r="P157" s="409" t="s">
        <v>286</v>
      </c>
      <c r="Q157" s="409"/>
      <c r="R157" s="409" t="s">
        <v>624</v>
      </c>
      <c r="S157" s="409"/>
      <c r="T157" s="414" t="s">
        <v>951</v>
      </c>
      <c r="U157" s="393" t="s">
        <v>794</v>
      </c>
      <c r="V157" s="394"/>
      <c r="W157" s="393" t="s">
        <v>794</v>
      </c>
      <c r="X157" s="393"/>
      <c r="Y157" s="395"/>
      <c r="Z157" s="393"/>
      <c r="AA157" s="396"/>
      <c r="AB157" s="410"/>
      <c r="AC157" s="410"/>
      <c r="AD157" s="410"/>
      <c r="AE157" s="410"/>
      <c r="AF157" s="410"/>
      <c r="AG157" s="410"/>
      <c r="AH157" s="410"/>
      <c r="AI157" s="410"/>
      <c r="AJ157" s="410"/>
      <c r="AK157" s="410"/>
      <c r="AL157" s="410"/>
      <c r="AM157" s="410"/>
      <c r="AN157" s="410"/>
      <c r="AO157" s="410"/>
      <c r="AP157" s="410"/>
      <c r="AQ157" s="410"/>
      <c r="AR157" s="410"/>
      <c r="AS157" s="410"/>
      <c r="AT157" s="410"/>
      <c r="AU157" s="410"/>
      <c r="AV157" s="410"/>
      <c r="AW157" s="410"/>
      <c r="AX157" s="410"/>
      <c r="AY157" s="410"/>
      <c r="AZ157" s="410"/>
      <c r="BA157" s="410"/>
      <c r="BB157" s="410"/>
      <c r="BC157" s="410"/>
      <c r="BD157" s="410"/>
      <c r="BE157" s="410"/>
      <c r="BF157" s="410"/>
      <c r="BG157" s="410"/>
    </row>
    <row r="158" spans="1:59" s="469" customFormat="1" ht="96" x14ac:dyDescent="0.25">
      <c r="A158" s="444">
        <v>34</v>
      </c>
      <c r="B158" s="141" t="s">
        <v>156</v>
      </c>
      <c r="C158" s="141"/>
      <c r="D158" s="141" t="s">
        <v>654</v>
      </c>
      <c r="E158" s="141" t="s">
        <v>569</v>
      </c>
      <c r="F158" s="141" t="s">
        <v>649</v>
      </c>
      <c r="G158" s="141" t="s">
        <v>279</v>
      </c>
      <c r="H158" s="141" t="s">
        <v>571</v>
      </c>
      <c r="I158" s="141" t="s">
        <v>649</v>
      </c>
      <c r="J158" s="141" t="s">
        <v>892</v>
      </c>
      <c r="K158" s="141" t="s">
        <v>350</v>
      </c>
      <c r="L158" s="141" t="s">
        <v>350</v>
      </c>
      <c r="M158" s="141" t="s">
        <v>350</v>
      </c>
      <c r="N158" s="141"/>
      <c r="O158" s="141" t="s">
        <v>285</v>
      </c>
      <c r="P158" s="141" t="s">
        <v>286</v>
      </c>
      <c r="Q158" s="141"/>
      <c r="R158" s="141" t="s">
        <v>624</v>
      </c>
      <c r="S158" s="141"/>
      <c r="T158" s="141" t="s">
        <v>952</v>
      </c>
      <c r="U158" s="189" t="s">
        <v>794</v>
      </c>
      <c r="V158" s="213"/>
      <c r="W158" s="189" t="s">
        <v>794</v>
      </c>
      <c r="X158" s="189"/>
      <c r="Y158" s="214"/>
      <c r="Z158" s="189"/>
      <c r="AA158" s="215"/>
      <c r="AB158" s="844" t="s">
        <v>893</v>
      </c>
      <c r="AC158" s="842"/>
      <c r="AD158" s="843"/>
      <c r="AE158" s="771"/>
      <c r="AF158" s="842" t="s">
        <v>894</v>
      </c>
      <c r="AG158" s="842"/>
      <c r="AH158" s="843"/>
      <c r="AI158" s="771"/>
      <c r="AJ158" s="842" t="s">
        <v>895</v>
      </c>
      <c r="AK158" s="842"/>
      <c r="AL158" s="843"/>
      <c r="AM158" s="771"/>
      <c r="AN158" s="842" t="s">
        <v>896</v>
      </c>
      <c r="AO158" s="843"/>
      <c r="AP158" s="842" t="s">
        <v>897</v>
      </c>
      <c r="AQ158" s="843"/>
      <c r="AR158" s="675"/>
      <c r="AS158" s="275"/>
      <c r="AU158" s="275"/>
      <c r="AV158" s="275"/>
      <c r="AW158" s="275"/>
      <c r="AX158" s="275"/>
      <c r="AY158" s="275"/>
      <c r="AZ158" s="275"/>
      <c r="BA158" s="275"/>
      <c r="BB158" s="275"/>
      <c r="BC158" s="275"/>
      <c r="BD158" s="275"/>
      <c r="BE158" s="275"/>
      <c r="BF158" s="275"/>
      <c r="BG158" s="275"/>
    </row>
    <row r="159" spans="1:59" s="469" customFormat="1" ht="15.75" x14ac:dyDescent="0.25">
      <c r="A159" s="444"/>
      <c r="B159" s="141"/>
      <c r="C159" s="141"/>
      <c r="D159" s="141"/>
      <c r="E159" s="141"/>
      <c r="F159" s="141"/>
      <c r="G159" s="141"/>
      <c r="H159" s="141"/>
      <c r="I159" s="141"/>
      <c r="J159" s="141"/>
      <c r="K159" s="141"/>
      <c r="L159" s="141"/>
      <c r="M159" s="141"/>
      <c r="N159" s="141"/>
      <c r="O159" s="141"/>
      <c r="P159" s="141"/>
      <c r="Q159" s="141"/>
      <c r="R159" s="141"/>
      <c r="S159" s="141"/>
      <c r="T159" s="141"/>
      <c r="U159" s="189"/>
      <c r="V159" s="213"/>
      <c r="W159" s="189"/>
      <c r="X159" s="189"/>
      <c r="Y159" s="214"/>
      <c r="Z159" s="189"/>
      <c r="AA159" s="215"/>
      <c r="AB159" s="472" t="s">
        <v>898</v>
      </c>
      <c r="AC159" s="473"/>
      <c r="AD159" s="474" t="s">
        <v>899</v>
      </c>
      <c r="AE159" s="473"/>
      <c r="AF159" s="473" t="s">
        <v>898</v>
      </c>
      <c r="AG159" s="473"/>
      <c r="AH159" s="474" t="s">
        <v>899</v>
      </c>
      <c r="AI159" s="473"/>
      <c r="AJ159" s="473" t="s">
        <v>898</v>
      </c>
      <c r="AK159" s="473"/>
      <c r="AL159" s="474" t="s">
        <v>899</v>
      </c>
      <c r="AM159" s="473"/>
      <c r="AN159" s="473" t="s">
        <v>898</v>
      </c>
      <c r="AO159" s="474" t="s">
        <v>899</v>
      </c>
      <c r="AP159" s="473" t="s">
        <v>898</v>
      </c>
      <c r="AQ159" s="474" t="s">
        <v>899</v>
      </c>
      <c r="AR159" s="675"/>
      <c r="AU159" s="275"/>
      <c r="AV159" s="275"/>
      <c r="AW159" s="275"/>
      <c r="AX159" s="275"/>
      <c r="AY159" s="275"/>
      <c r="AZ159" s="275"/>
      <c r="BA159" s="275"/>
      <c r="BB159" s="275"/>
      <c r="BC159" s="275"/>
      <c r="BD159" s="275"/>
      <c r="BE159" s="275"/>
      <c r="BF159" s="275"/>
      <c r="BG159" s="275"/>
    </row>
    <row r="160" spans="1:59" s="469" customFormat="1" ht="15.75" x14ac:dyDescent="0.25">
      <c r="A160" s="444"/>
      <c r="B160" s="470" t="s">
        <v>3</v>
      </c>
      <c r="C160" s="470"/>
      <c r="D160" s="141"/>
      <c r="E160" s="141"/>
      <c r="F160" s="141"/>
      <c r="G160" s="141"/>
      <c r="H160" s="141"/>
      <c r="I160" s="141"/>
      <c r="J160" s="141"/>
      <c r="K160" s="141"/>
      <c r="L160" s="141"/>
      <c r="M160" s="141"/>
      <c r="N160" s="141"/>
      <c r="O160" s="141"/>
      <c r="P160" s="141"/>
      <c r="Q160" s="141"/>
      <c r="R160" s="141"/>
      <c r="S160" s="141"/>
      <c r="T160" s="141"/>
      <c r="U160" s="189"/>
      <c r="V160" s="213"/>
      <c r="W160" s="189"/>
      <c r="X160" s="189"/>
      <c r="Y160" s="214"/>
      <c r="Z160" s="189"/>
      <c r="AA160" s="215"/>
      <c r="AB160" s="16"/>
      <c r="AC160" s="16"/>
      <c r="AD160" s="477"/>
      <c r="AE160" s="4"/>
      <c r="AF160" s="16"/>
      <c r="AG160" s="16"/>
      <c r="AH160" s="477"/>
      <c r="AI160" s="4"/>
      <c r="AJ160" s="16"/>
      <c r="AK160" s="16"/>
      <c r="AL160" s="477"/>
      <c r="AM160" s="4"/>
      <c r="AN160" s="4"/>
      <c r="AO160" s="477"/>
      <c r="AP160" s="4"/>
      <c r="AQ160" s="477"/>
      <c r="AR160" s="676"/>
      <c r="AS160" s="275"/>
      <c r="AT160" s="275"/>
      <c r="AU160" s="275"/>
      <c r="AV160" s="275"/>
      <c r="AW160" s="275"/>
      <c r="AX160" s="275"/>
      <c r="AY160" s="275"/>
      <c r="AZ160" s="275"/>
      <c r="BA160" s="275"/>
      <c r="BB160" s="275"/>
      <c r="BC160" s="275"/>
      <c r="BD160" s="275"/>
      <c r="BE160" s="275"/>
      <c r="BF160" s="275"/>
      <c r="BG160" s="275"/>
    </row>
    <row r="161" spans="1:59" s="469" customFormat="1" ht="15.75" x14ac:dyDescent="0.25">
      <c r="A161" s="444"/>
      <c r="B161" s="470" t="s">
        <v>4</v>
      </c>
      <c r="C161" s="470"/>
      <c r="D161" s="141"/>
      <c r="E161" s="141"/>
      <c r="F161" s="141"/>
      <c r="G161" s="141"/>
      <c r="H161" s="141"/>
      <c r="I161" s="141"/>
      <c r="J161" s="141"/>
      <c r="K161" s="141"/>
      <c r="L161" s="141"/>
      <c r="M161" s="141"/>
      <c r="N161" s="141"/>
      <c r="O161" s="141"/>
      <c r="P161" s="141"/>
      <c r="Q161" s="141"/>
      <c r="R161" s="141"/>
      <c r="S161" s="141"/>
      <c r="T161" s="141"/>
      <c r="U161" s="189"/>
      <c r="V161" s="213"/>
      <c r="W161" s="189"/>
      <c r="X161" s="189"/>
      <c r="Y161" s="214"/>
      <c r="Z161" s="189"/>
      <c r="AA161" s="215"/>
      <c r="AB161" s="478"/>
      <c r="AC161" s="478"/>
      <c r="AD161" s="479"/>
      <c r="AE161" s="478"/>
      <c r="AF161" s="478"/>
      <c r="AG161" s="478"/>
      <c r="AH161" s="479"/>
      <c r="AI161" s="478"/>
      <c r="AJ161" s="478"/>
      <c r="AK161" s="478"/>
      <c r="AL161" s="477"/>
      <c r="AM161" s="4"/>
      <c r="AN161" s="4"/>
      <c r="AO161" s="477"/>
      <c r="AP161" s="4"/>
      <c r="AQ161" s="477"/>
      <c r="AR161" s="275"/>
      <c r="AS161" s="275"/>
      <c r="AT161" s="275"/>
      <c r="AU161" s="275"/>
      <c r="AV161" s="275"/>
      <c r="AW161" s="275"/>
      <c r="AX161" s="275"/>
      <c r="AY161" s="275"/>
      <c r="AZ161" s="275"/>
      <c r="BA161" s="275"/>
      <c r="BB161" s="275"/>
      <c r="BC161" s="275"/>
      <c r="BD161" s="275"/>
      <c r="BE161" s="275"/>
      <c r="BF161" s="275"/>
      <c r="BG161" s="275"/>
    </row>
    <row r="162" spans="1:59" s="469" customFormat="1" ht="15.75" x14ac:dyDescent="0.25">
      <c r="A162" s="444"/>
      <c r="B162" s="470" t="s">
        <v>5</v>
      </c>
      <c r="C162" s="470"/>
      <c r="D162" s="141"/>
      <c r="E162" s="141"/>
      <c r="F162" s="141"/>
      <c r="G162" s="141"/>
      <c r="H162" s="141"/>
      <c r="I162" s="141"/>
      <c r="J162" s="141"/>
      <c r="K162" s="141"/>
      <c r="L162" s="141"/>
      <c r="M162" s="141"/>
      <c r="N162" s="141"/>
      <c r="O162" s="141"/>
      <c r="P162" s="141"/>
      <c r="Q162" s="141"/>
      <c r="R162" s="141"/>
      <c r="S162" s="141"/>
      <c r="T162" s="141"/>
      <c r="U162" s="189"/>
      <c r="V162" s="213"/>
      <c r="W162" s="189"/>
      <c r="X162" s="189"/>
      <c r="Y162" s="214"/>
      <c r="Z162" s="189"/>
      <c r="AA162" s="215"/>
      <c r="AB162" s="478"/>
      <c r="AC162" s="478"/>
      <c r="AD162" s="479"/>
      <c r="AE162" s="478"/>
      <c r="AF162" s="478"/>
      <c r="AG162" s="478"/>
      <c r="AH162" s="479"/>
      <c r="AI162" s="478"/>
      <c r="AJ162" s="478"/>
      <c r="AK162" s="478"/>
      <c r="AL162" s="477"/>
      <c r="AM162" s="4"/>
      <c r="AN162" s="4"/>
      <c r="AO162" s="477"/>
      <c r="AP162" s="4"/>
      <c r="AQ162" s="477"/>
      <c r="AR162" s="275"/>
      <c r="AS162" s="275"/>
      <c r="AT162" s="275"/>
      <c r="AU162" s="275"/>
      <c r="AV162" s="275"/>
      <c r="AW162" s="275"/>
      <c r="AX162" s="275"/>
      <c r="AY162" s="275"/>
      <c r="AZ162" s="275"/>
      <c r="BA162" s="275"/>
      <c r="BB162" s="275"/>
      <c r="BC162" s="275"/>
      <c r="BD162" s="275"/>
      <c r="BE162" s="275"/>
      <c r="BF162" s="275"/>
      <c r="BG162" s="275"/>
    </row>
    <row r="163" spans="1:59" s="469" customFormat="1" ht="15.75" x14ac:dyDescent="0.25">
      <c r="A163" s="444"/>
      <c r="B163" s="470" t="s">
        <v>251</v>
      </c>
      <c r="C163" s="470"/>
      <c r="D163" s="141"/>
      <c r="E163" s="141"/>
      <c r="F163" s="141"/>
      <c r="G163" s="141"/>
      <c r="H163" s="141"/>
      <c r="I163" s="141"/>
      <c r="J163" s="141"/>
      <c r="K163" s="141"/>
      <c r="L163" s="141"/>
      <c r="M163" s="141"/>
      <c r="N163" s="141"/>
      <c r="O163" s="141"/>
      <c r="P163" s="141"/>
      <c r="Q163" s="141"/>
      <c r="R163" s="141"/>
      <c r="S163" s="141"/>
      <c r="T163" s="141"/>
      <c r="U163" s="189"/>
      <c r="V163" s="213"/>
      <c r="W163" s="189"/>
      <c r="X163" s="189"/>
      <c r="Y163" s="214"/>
      <c r="Z163" s="189"/>
      <c r="AA163" s="215"/>
      <c r="AB163" s="480">
        <v>74703</v>
      </c>
      <c r="AC163" s="480"/>
      <c r="AD163" s="361">
        <v>33</v>
      </c>
      <c r="AE163" s="343"/>
      <c r="AF163" s="480">
        <v>74711</v>
      </c>
      <c r="AG163" s="480"/>
      <c r="AH163" s="361">
        <v>33</v>
      </c>
      <c r="AI163" s="343"/>
      <c r="AJ163" s="480">
        <v>74500</v>
      </c>
      <c r="AK163" s="480"/>
      <c r="AL163" s="361">
        <v>33</v>
      </c>
      <c r="AM163" s="343"/>
      <c r="AN163" s="343">
        <v>75000</v>
      </c>
      <c r="AO163" s="361">
        <v>33</v>
      </c>
      <c r="AP163" s="343">
        <v>74500</v>
      </c>
      <c r="AQ163" s="361">
        <v>33</v>
      </c>
      <c r="AR163" s="275"/>
      <c r="AS163" s="275"/>
      <c r="AT163" s="275"/>
      <c r="AU163" s="275"/>
      <c r="AV163" s="275"/>
      <c r="AW163" s="275"/>
      <c r="AX163" s="275"/>
      <c r="AY163" s="275"/>
      <c r="AZ163" s="275"/>
      <c r="BA163" s="275"/>
      <c r="BB163" s="275"/>
      <c r="BC163" s="275"/>
      <c r="BD163" s="275"/>
      <c r="BE163" s="275"/>
      <c r="BF163" s="275"/>
      <c r="BG163" s="275"/>
    </row>
    <row r="164" spans="1:59" s="469" customFormat="1" ht="15.75" x14ac:dyDescent="0.25">
      <c r="A164" s="444"/>
      <c r="B164" s="470" t="s">
        <v>252</v>
      </c>
      <c r="C164" s="470"/>
      <c r="D164" s="141"/>
      <c r="E164" s="141"/>
      <c r="F164" s="141"/>
      <c r="G164" s="141"/>
      <c r="H164" s="141"/>
      <c r="I164" s="141"/>
      <c r="J164" s="141"/>
      <c r="K164" s="141"/>
      <c r="L164" s="141"/>
      <c r="M164" s="141"/>
      <c r="N164" s="141"/>
      <c r="O164" s="141"/>
      <c r="P164" s="141"/>
      <c r="Q164" s="141"/>
      <c r="R164" s="141"/>
      <c r="S164" s="141"/>
      <c r="T164" s="141"/>
      <c r="U164" s="189"/>
      <c r="V164" s="213"/>
      <c r="W164" s="189"/>
      <c r="X164" s="189"/>
      <c r="Y164" s="214"/>
      <c r="Z164" s="189"/>
      <c r="AA164" s="215"/>
      <c r="AB164" s="478"/>
      <c r="AC164" s="478"/>
      <c r="AD164" s="479"/>
      <c r="AE164" s="478"/>
      <c r="AF164" s="478"/>
      <c r="AG164" s="478"/>
      <c r="AH164" s="479"/>
      <c r="AI164" s="478"/>
      <c r="AJ164" s="478"/>
      <c r="AK164" s="478"/>
      <c r="AL164" s="477"/>
      <c r="AM164" s="4"/>
      <c r="AN164" s="4"/>
      <c r="AO164" s="477"/>
      <c r="AP164" s="4"/>
      <c r="AQ164" s="477"/>
      <c r="AR164" s="275"/>
      <c r="AS164" s="275"/>
      <c r="AT164" s="275"/>
      <c r="AU164" s="275"/>
      <c r="AV164" s="275"/>
      <c r="AW164" s="275"/>
      <c r="AX164" s="275"/>
      <c r="AY164" s="275"/>
      <c r="AZ164" s="275"/>
      <c r="BA164" s="275"/>
      <c r="BB164" s="275"/>
      <c r="BC164" s="275"/>
      <c r="BD164" s="275"/>
      <c r="BE164" s="275"/>
      <c r="BF164" s="275"/>
      <c r="BG164" s="275"/>
    </row>
    <row r="165" spans="1:59" s="469" customFormat="1" ht="15.75" x14ac:dyDescent="0.25">
      <c r="A165" s="444"/>
      <c r="B165" s="470" t="s">
        <v>6</v>
      </c>
      <c r="C165" s="470"/>
      <c r="D165" s="141"/>
      <c r="E165" s="141"/>
      <c r="F165" s="141"/>
      <c r="G165" s="141"/>
      <c r="H165" s="141"/>
      <c r="I165" s="141"/>
      <c r="J165" s="141"/>
      <c r="K165" s="141"/>
      <c r="L165" s="141"/>
      <c r="M165" s="141"/>
      <c r="N165" s="141"/>
      <c r="O165" s="141"/>
      <c r="P165" s="141"/>
      <c r="Q165" s="141"/>
      <c r="R165" s="141"/>
      <c r="S165" s="141"/>
      <c r="T165" s="141"/>
      <c r="U165" s="189"/>
      <c r="V165" s="213"/>
      <c r="W165" s="189"/>
      <c r="X165" s="189"/>
      <c r="Y165" s="214"/>
      <c r="Z165" s="189"/>
      <c r="AA165" s="215"/>
      <c r="AB165" s="478"/>
      <c r="AC165" s="478"/>
      <c r="AD165" s="479"/>
      <c r="AE165" s="478"/>
      <c r="AF165" s="478"/>
      <c r="AG165" s="478"/>
      <c r="AH165" s="479"/>
      <c r="AI165" s="478"/>
      <c r="AJ165" s="478"/>
      <c r="AK165" s="478"/>
      <c r="AL165" s="477"/>
      <c r="AM165" s="4"/>
      <c r="AN165" s="4"/>
      <c r="AO165" s="477"/>
      <c r="AP165" s="4"/>
      <c r="AQ165" s="477"/>
      <c r="AR165" s="275"/>
      <c r="AS165" s="275"/>
      <c r="AT165" s="275"/>
      <c r="AU165" s="275"/>
      <c r="AV165" s="275"/>
      <c r="AW165" s="275"/>
      <c r="AX165" s="275"/>
      <c r="AY165" s="275"/>
      <c r="AZ165" s="275"/>
      <c r="BA165" s="275"/>
      <c r="BB165" s="275"/>
      <c r="BC165" s="275"/>
      <c r="BD165" s="275"/>
      <c r="BE165" s="275"/>
      <c r="BF165" s="275"/>
      <c r="BG165" s="275"/>
    </row>
    <row r="166" spans="1:59" s="469" customFormat="1" ht="15.75" x14ac:dyDescent="0.25">
      <c r="A166" s="444"/>
      <c r="B166" s="470" t="s">
        <v>8</v>
      </c>
      <c r="C166" s="470"/>
      <c r="D166" s="141"/>
      <c r="E166" s="141"/>
      <c r="F166" s="141"/>
      <c r="G166" s="141"/>
      <c r="H166" s="141"/>
      <c r="I166" s="141"/>
      <c r="J166" s="141"/>
      <c r="K166" s="141"/>
      <c r="L166" s="141"/>
      <c r="M166" s="141"/>
      <c r="N166" s="141"/>
      <c r="O166" s="141"/>
      <c r="P166" s="141"/>
      <c r="Q166" s="141"/>
      <c r="R166" s="141"/>
      <c r="S166" s="141"/>
      <c r="T166" s="141"/>
      <c r="U166" s="189"/>
      <c r="V166" s="213"/>
      <c r="W166" s="189"/>
      <c r="X166" s="189"/>
      <c r="Y166" s="214"/>
      <c r="Z166" s="189"/>
      <c r="AA166" s="215"/>
      <c r="AB166" s="478"/>
      <c r="AC166" s="478"/>
      <c r="AD166" s="479"/>
      <c r="AE166" s="478"/>
      <c r="AF166" s="478"/>
      <c r="AG166" s="478"/>
      <c r="AH166" s="479"/>
      <c r="AI166" s="478"/>
      <c r="AJ166" s="478"/>
      <c r="AK166" s="478"/>
      <c r="AL166" s="477"/>
      <c r="AM166" s="4"/>
      <c r="AN166" s="4"/>
      <c r="AO166" s="477"/>
      <c r="AP166" s="4"/>
      <c r="AQ166" s="477"/>
      <c r="AR166" s="275"/>
      <c r="AS166" s="275"/>
      <c r="AT166" s="275"/>
      <c r="AU166" s="275"/>
      <c r="AV166" s="275"/>
      <c r="AW166" s="275"/>
      <c r="AX166" s="275"/>
      <c r="AY166" s="275"/>
      <c r="AZ166" s="275"/>
      <c r="BA166" s="275"/>
      <c r="BB166" s="275"/>
      <c r="BC166" s="275"/>
      <c r="BD166" s="275"/>
      <c r="BE166" s="275"/>
      <c r="BF166" s="275"/>
      <c r="BG166" s="275"/>
    </row>
    <row r="167" spans="1:59" s="469" customFormat="1" ht="15.75" x14ac:dyDescent="0.25">
      <c r="A167" s="444"/>
      <c r="B167" s="470" t="s">
        <v>7</v>
      </c>
      <c r="C167" s="470"/>
      <c r="D167" s="141"/>
      <c r="E167" s="141"/>
      <c r="F167" s="141"/>
      <c r="G167" s="141"/>
      <c r="H167" s="141"/>
      <c r="I167" s="141"/>
      <c r="J167" s="141"/>
      <c r="K167" s="141"/>
      <c r="L167" s="141"/>
      <c r="M167" s="141"/>
      <c r="N167" s="141"/>
      <c r="O167" s="141"/>
      <c r="P167" s="141"/>
      <c r="Q167" s="141"/>
      <c r="R167" s="141"/>
      <c r="S167" s="141"/>
      <c r="T167" s="141"/>
      <c r="U167" s="189"/>
      <c r="V167" s="213"/>
      <c r="W167" s="189"/>
      <c r="X167" s="189"/>
      <c r="Y167" s="214"/>
      <c r="Z167" s="189"/>
      <c r="AA167" s="215"/>
      <c r="AB167" s="478"/>
      <c r="AC167" s="478"/>
      <c r="AD167" s="479"/>
      <c r="AE167" s="478"/>
      <c r="AF167" s="478"/>
      <c r="AG167" s="478"/>
      <c r="AH167" s="479"/>
      <c r="AI167" s="478"/>
      <c r="AJ167" s="478"/>
      <c r="AK167" s="478"/>
      <c r="AL167" s="477"/>
      <c r="AM167" s="4"/>
      <c r="AN167" s="4"/>
      <c r="AO167" s="477"/>
      <c r="AP167" s="4"/>
      <c r="AQ167" s="477"/>
      <c r="AR167" s="275"/>
      <c r="AS167" s="275"/>
      <c r="AT167" s="275"/>
      <c r="AU167" s="275"/>
      <c r="AV167" s="275"/>
      <c r="AW167" s="275"/>
      <c r="AX167" s="275"/>
      <c r="AY167" s="275"/>
      <c r="AZ167" s="275"/>
      <c r="BA167" s="275"/>
      <c r="BB167" s="275"/>
      <c r="BC167" s="275"/>
      <c r="BD167" s="275"/>
      <c r="BE167" s="275"/>
      <c r="BF167" s="275"/>
      <c r="BG167" s="275"/>
    </row>
    <row r="168" spans="1:59" s="469" customFormat="1" ht="15.75" x14ac:dyDescent="0.25">
      <c r="A168" s="444"/>
      <c r="B168" s="270" t="s">
        <v>800</v>
      </c>
      <c r="C168" s="270"/>
      <c r="D168" s="141"/>
      <c r="E168" s="141"/>
      <c r="F168" s="141"/>
      <c r="G168" s="141"/>
      <c r="H168" s="141"/>
      <c r="I168" s="141"/>
      <c r="J168" s="141"/>
      <c r="K168" s="141"/>
      <c r="L168" s="141"/>
      <c r="M168" s="141"/>
      <c r="N168" s="141"/>
      <c r="O168" s="141"/>
      <c r="P168" s="141"/>
      <c r="Q168" s="141"/>
      <c r="R168" s="141"/>
      <c r="S168" s="141"/>
      <c r="T168" s="141"/>
      <c r="U168" s="189"/>
      <c r="V168" s="213"/>
      <c r="W168" s="189"/>
      <c r="X168" s="189"/>
      <c r="Y168" s="214"/>
      <c r="Z168" s="189"/>
      <c r="AA168" s="215"/>
      <c r="AB168" s="478"/>
      <c r="AC168" s="478"/>
      <c r="AD168" s="479"/>
      <c r="AE168" s="478"/>
      <c r="AF168" s="478"/>
      <c r="AG168" s="478"/>
      <c r="AH168" s="479"/>
      <c r="AI168" s="478"/>
      <c r="AJ168" s="478"/>
      <c r="AK168" s="478"/>
      <c r="AL168" s="477"/>
      <c r="AM168" s="4"/>
      <c r="AN168" s="4"/>
      <c r="AO168" s="477"/>
      <c r="AP168" s="4"/>
      <c r="AQ168" s="477"/>
      <c r="AR168" s="275"/>
      <c r="AS168" s="275"/>
      <c r="AT168" s="275"/>
      <c r="AU168" s="275"/>
      <c r="AV168" s="275"/>
      <c r="AW168" s="275"/>
      <c r="AX168" s="275"/>
      <c r="AY168" s="275"/>
      <c r="AZ168" s="275"/>
      <c r="BA168" s="275"/>
      <c r="BB168" s="275"/>
      <c r="BC168" s="275"/>
      <c r="BD168" s="275"/>
      <c r="BE168" s="275"/>
      <c r="BF168" s="275"/>
      <c r="BG168" s="275"/>
    </row>
    <row r="169" spans="1:59" s="469" customFormat="1" ht="15.75" x14ac:dyDescent="0.25">
      <c r="A169" s="444"/>
      <c r="B169" s="141"/>
      <c r="C169" s="141"/>
      <c r="D169" s="141"/>
      <c r="E169" s="141"/>
      <c r="F169" s="141"/>
      <c r="G169" s="141"/>
      <c r="H169" s="141"/>
      <c r="I169" s="141"/>
      <c r="J169" s="141"/>
      <c r="K169" s="141"/>
      <c r="L169" s="141"/>
      <c r="M169" s="141"/>
      <c r="N169" s="141"/>
      <c r="O169" s="141"/>
      <c r="P169" s="141"/>
      <c r="Q169" s="141"/>
      <c r="R169" s="141"/>
      <c r="S169" s="141"/>
      <c r="T169" s="141"/>
      <c r="U169" s="189"/>
      <c r="V169" s="213"/>
      <c r="W169" s="189"/>
      <c r="X169" s="189"/>
      <c r="Y169" s="214"/>
      <c r="Z169" s="189"/>
      <c r="AA169" s="215"/>
      <c r="AB169" s="471"/>
      <c r="AC169" s="471"/>
      <c r="AD169" s="476"/>
      <c r="AE169" s="471"/>
      <c r="AF169" s="471"/>
      <c r="AG169" s="471"/>
      <c r="AH169" s="476"/>
      <c r="AI169" s="471"/>
      <c r="AJ169" s="471"/>
      <c r="AK169" s="471"/>
      <c r="AL169" s="475"/>
      <c r="AM169" s="275"/>
      <c r="AN169" s="275"/>
      <c r="AO169" s="475"/>
      <c r="AP169" s="275"/>
      <c r="AQ169" s="475"/>
      <c r="AR169" s="275"/>
      <c r="AS169" s="275"/>
      <c r="AT169" s="275"/>
      <c r="AU169" s="275"/>
      <c r="AV169" s="275"/>
      <c r="AW169" s="275"/>
      <c r="AX169" s="275"/>
      <c r="AY169" s="275"/>
      <c r="AZ169" s="275"/>
      <c r="BA169" s="275"/>
      <c r="BB169" s="275"/>
      <c r="BC169" s="275"/>
      <c r="BD169" s="275"/>
      <c r="BE169" s="275"/>
      <c r="BF169" s="275"/>
      <c r="BG169" s="275"/>
    </row>
    <row r="170" spans="1:59" ht="36.75" x14ac:dyDescent="0.25">
      <c r="A170" s="85">
        <v>35</v>
      </c>
      <c r="B170" s="101" t="s">
        <v>157</v>
      </c>
      <c r="C170" s="101"/>
      <c r="D170" s="101" t="s">
        <v>655</v>
      </c>
      <c r="E170" s="101" t="s">
        <v>569</v>
      </c>
      <c r="F170" s="101" t="s">
        <v>656</v>
      </c>
      <c r="G170" s="101" t="s">
        <v>279</v>
      </c>
      <c r="H170" s="101" t="s">
        <v>571</v>
      </c>
      <c r="I170" s="101" t="s">
        <v>649</v>
      </c>
      <c r="J170" s="101" t="s">
        <v>657</v>
      </c>
      <c r="K170" s="101" t="s">
        <v>336</v>
      </c>
      <c r="L170" s="101" t="s">
        <v>374</v>
      </c>
      <c r="M170" s="59" t="s">
        <v>375</v>
      </c>
      <c r="N170" s="59"/>
      <c r="O170" s="59" t="s">
        <v>285</v>
      </c>
      <c r="P170" s="59" t="s">
        <v>577</v>
      </c>
      <c r="Q170" s="59"/>
      <c r="R170" s="59" t="s">
        <v>624</v>
      </c>
      <c r="S170" s="59"/>
      <c r="T170" s="59" t="s">
        <v>953</v>
      </c>
      <c r="U170" s="189"/>
      <c r="V170" s="213"/>
      <c r="W170" s="189" t="s">
        <v>794</v>
      </c>
      <c r="X170" s="189"/>
      <c r="Y170" s="214"/>
      <c r="Z170" s="189"/>
      <c r="AA170" s="215"/>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row>
    <row r="171" spans="1:59" s="412" customFormat="1" ht="60" x14ac:dyDescent="0.25">
      <c r="A171" s="390">
        <v>36</v>
      </c>
      <c r="B171" s="421" t="s">
        <v>158</v>
      </c>
      <c r="C171" s="421"/>
      <c r="D171" s="421" t="s">
        <v>658</v>
      </c>
      <c r="E171" s="421"/>
      <c r="F171" s="421"/>
      <c r="G171" s="421" t="s">
        <v>306</v>
      </c>
      <c r="H171" s="421" t="s">
        <v>571</v>
      </c>
      <c r="I171" s="421" t="s">
        <v>649</v>
      </c>
      <c r="J171" s="421" t="s">
        <v>657</v>
      </c>
      <c r="K171" s="421" t="s">
        <v>336</v>
      </c>
      <c r="L171" s="421" t="s">
        <v>374</v>
      </c>
      <c r="M171" s="737" t="s">
        <v>375</v>
      </c>
      <c r="N171" s="737"/>
      <c r="O171" s="737" t="s">
        <v>285</v>
      </c>
      <c r="P171" s="737" t="s">
        <v>577</v>
      </c>
      <c r="Q171" s="737"/>
      <c r="R171" s="737" t="s">
        <v>624</v>
      </c>
      <c r="S171" s="737"/>
      <c r="T171" s="421" t="s">
        <v>954</v>
      </c>
      <c r="U171" s="396" t="s">
        <v>794</v>
      </c>
      <c r="V171" s="393"/>
      <c r="W171" s="393" t="s">
        <v>794</v>
      </c>
      <c r="X171" s="393"/>
      <c r="Y171" s="395"/>
      <c r="Z171" s="393"/>
      <c r="AA171" s="396"/>
      <c r="AB171" s="410"/>
      <c r="AC171" s="410"/>
      <c r="AD171" s="410"/>
      <c r="AE171" s="410"/>
      <c r="AF171" s="410"/>
      <c r="AG171" s="410"/>
      <c r="AH171" s="410"/>
      <c r="AI171" s="410"/>
      <c r="AJ171" s="410"/>
      <c r="AK171" s="410"/>
      <c r="AL171" s="410"/>
      <c r="AM171" s="410"/>
      <c r="AN171" s="410"/>
      <c r="AO171" s="410"/>
      <c r="AP171" s="410"/>
      <c r="AQ171" s="410"/>
      <c r="AR171" s="410"/>
      <c r="AS171" s="410"/>
      <c r="AT171" s="410"/>
      <c r="AU171" s="410"/>
      <c r="AV171" s="410"/>
      <c r="AW171" s="410"/>
      <c r="AX171" s="410"/>
      <c r="AY171" s="410"/>
      <c r="AZ171" s="410"/>
      <c r="BA171" s="410"/>
      <c r="BB171" s="410"/>
      <c r="BC171" s="410"/>
      <c r="BD171" s="410"/>
      <c r="BE171" s="410"/>
      <c r="BF171" s="410"/>
      <c r="BG171" s="410"/>
    </row>
    <row r="172" spans="1:59" s="275" customFormat="1" ht="24" x14ac:dyDescent="0.25">
      <c r="A172" s="86">
        <v>37</v>
      </c>
      <c r="B172" s="16" t="s">
        <v>1078</v>
      </c>
      <c r="C172" s="773"/>
      <c r="D172" s="242"/>
      <c r="E172" s="242" t="s">
        <v>569</v>
      </c>
      <c r="F172" s="242" t="s">
        <v>597</v>
      </c>
      <c r="G172" s="242" t="s">
        <v>279</v>
      </c>
      <c r="H172" s="242" t="s">
        <v>571</v>
      </c>
      <c r="I172" s="242"/>
      <c r="J172" s="242" t="s">
        <v>1077</v>
      </c>
      <c r="K172" s="242"/>
      <c r="L172" s="242"/>
      <c r="M172" s="735"/>
      <c r="N172" s="735"/>
      <c r="O172" s="735" t="s">
        <v>285</v>
      </c>
      <c r="P172" s="735" t="s">
        <v>577</v>
      </c>
      <c r="Q172" s="735"/>
      <c r="R172" s="735"/>
      <c r="S172" s="735"/>
      <c r="T172" s="242"/>
      <c r="U172" s="189"/>
      <c r="V172" s="189"/>
      <c r="W172" s="189"/>
      <c r="X172" s="189"/>
      <c r="Y172" s="189"/>
      <c r="Z172" s="189"/>
      <c r="AA172" s="215"/>
    </row>
    <row r="173" spans="1:59" ht="15.75" x14ac:dyDescent="0.25">
      <c r="C173" s="730"/>
      <c r="K173" s="137"/>
      <c r="L173" s="137"/>
      <c r="M173" s="137"/>
      <c r="N173" s="137"/>
      <c r="O173" s="137"/>
      <c r="P173" s="137"/>
      <c r="Q173" s="137"/>
      <c r="R173" s="137"/>
      <c r="S173" s="137"/>
      <c r="T173" s="137"/>
      <c r="V173" s="221"/>
      <c r="W173" s="221"/>
      <c r="X173" s="221"/>
      <c r="Y173" s="221"/>
      <c r="Z173" s="221"/>
      <c r="AA173" s="782"/>
      <c r="AB173" s="837" t="s">
        <v>824</v>
      </c>
      <c r="AC173" s="838"/>
      <c r="AD173" s="835" t="s">
        <v>348</v>
      </c>
      <c r="AE173" s="836"/>
      <c r="AF173" s="835" t="s">
        <v>1051</v>
      </c>
      <c r="AG173" s="836"/>
      <c r="AH173" s="835" t="s">
        <v>826</v>
      </c>
      <c r="AI173" s="836"/>
      <c r="AJ173" s="835" t="s">
        <v>827</v>
      </c>
      <c r="AK173" s="836"/>
      <c r="AL173" s="835" t="s">
        <v>828</v>
      </c>
      <c r="AM173" s="836"/>
      <c r="AN173" s="835" t="s">
        <v>1052</v>
      </c>
      <c r="AO173" s="836"/>
    </row>
    <row r="174" spans="1:59" ht="15.75" x14ac:dyDescent="0.25">
      <c r="B174" s="3"/>
      <c r="C174" s="730"/>
      <c r="K174" s="137"/>
      <c r="L174" s="137"/>
      <c r="M174" s="137"/>
      <c r="N174" s="137"/>
      <c r="O174" s="137"/>
      <c r="P174" s="137"/>
      <c r="Q174" s="137"/>
      <c r="R174" s="137"/>
      <c r="S174" s="137"/>
      <c r="T174" s="137"/>
      <c r="V174" s="221"/>
      <c r="W174" s="221"/>
      <c r="X174" s="221"/>
      <c r="Y174" s="221"/>
      <c r="Z174" s="221"/>
      <c r="AA174" s="447"/>
      <c r="AB174" s="789" t="s">
        <v>1028</v>
      </c>
      <c r="AC174" s="788" t="s">
        <v>1027</v>
      </c>
      <c r="AD174" s="790" t="s">
        <v>1028</v>
      </c>
      <c r="AE174" s="787" t="s">
        <v>1027</v>
      </c>
      <c r="AF174" s="791" t="s">
        <v>1028</v>
      </c>
      <c r="AG174" s="786" t="s">
        <v>1027</v>
      </c>
      <c r="AH174" s="791" t="s">
        <v>1028</v>
      </c>
      <c r="AI174" s="786" t="s">
        <v>1027</v>
      </c>
      <c r="AJ174" s="791" t="s">
        <v>1028</v>
      </c>
      <c r="AK174" s="786" t="s">
        <v>1027</v>
      </c>
      <c r="AL174" s="791" t="s">
        <v>1028</v>
      </c>
      <c r="AM174" s="786" t="s">
        <v>1027</v>
      </c>
      <c r="AN174" s="791" t="s">
        <v>1028</v>
      </c>
      <c r="AO174" s="791" t="s">
        <v>1027</v>
      </c>
    </row>
    <row r="175" spans="1:59" ht="15.75" x14ac:dyDescent="0.25">
      <c r="B175" s="785" t="s">
        <v>3</v>
      </c>
      <c r="K175" s="137"/>
      <c r="L175" s="137"/>
      <c r="M175" s="137"/>
      <c r="N175" s="137"/>
      <c r="O175" s="137"/>
      <c r="P175" s="137"/>
      <c r="Q175" s="137"/>
      <c r="R175" s="137"/>
      <c r="S175" s="137"/>
      <c r="T175" s="137"/>
      <c r="V175" s="221"/>
      <c r="W175" s="221"/>
      <c r="X175" s="221"/>
      <c r="Y175" s="221"/>
      <c r="Z175" s="221"/>
      <c r="AA175" s="153"/>
      <c r="AB175" s="3">
        <v>5236066</v>
      </c>
      <c r="AC175" s="3">
        <v>18537957</v>
      </c>
      <c r="AD175" s="375">
        <v>1289301</v>
      </c>
      <c r="AE175" s="3">
        <v>7269160</v>
      </c>
      <c r="AF175" s="137">
        <v>5641357</v>
      </c>
      <c r="AG175" s="792">
        <v>20109492</v>
      </c>
      <c r="AH175" s="792">
        <v>7692684</v>
      </c>
      <c r="AI175" s="137">
        <v>111247068</v>
      </c>
      <c r="AJ175" s="137">
        <v>334038</v>
      </c>
      <c r="AK175" s="137">
        <v>1242041</v>
      </c>
      <c r="AL175" s="137">
        <v>1162</v>
      </c>
      <c r="AM175" s="137">
        <v>4061</v>
      </c>
      <c r="AN175" s="137">
        <v>4952837</v>
      </c>
      <c r="AO175" s="137">
        <v>17310885</v>
      </c>
      <c r="AP175" s="57"/>
    </row>
    <row r="176" spans="1:59" ht="15.75" x14ac:dyDescent="0.25">
      <c r="B176" s="785"/>
      <c r="K176" s="137"/>
      <c r="L176" s="137"/>
      <c r="M176" s="137"/>
      <c r="N176" s="137"/>
      <c r="O176" s="137"/>
      <c r="P176" s="137"/>
      <c r="Q176" s="137"/>
      <c r="R176" s="137"/>
      <c r="S176" s="137"/>
      <c r="T176" s="137"/>
      <c r="V176" s="221"/>
      <c r="W176" s="221"/>
      <c r="X176" s="221"/>
      <c r="Y176" s="221"/>
      <c r="Z176" s="221"/>
      <c r="AA176" s="153"/>
      <c r="AC176" s="3"/>
      <c r="AE176" s="3"/>
      <c r="AG176" s="137"/>
      <c r="AI176" s="137"/>
      <c r="AK176" s="137"/>
      <c r="AM176" s="137"/>
      <c r="AO176" s="57"/>
    </row>
    <row r="177" spans="1:41" ht="15.75" x14ac:dyDescent="0.25">
      <c r="A177"/>
      <c r="B177" s="785" t="s">
        <v>1076</v>
      </c>
      <c r="U177"/>
      <c r="V177" s="221"/>
      <c r="W177" s="221"/>
      <c r="X177" s="221"/>
      <c r="Y177" s="221"/>
      <c r="Z177" s="221"/>
      <c r="AA177" s="783"/>
      <c r="AB177" s="3">
        <v>3831139</v>
      </c>
      <c r="AC177" s="3">
        <v>17934080</v>
      </c>
      <c r="AD177" s="3">
        <v>2995323</v>
      </c>
      <c r="AE177" s="3">
        <v>11663702</v>
      </c>
      <c r="AF177" s="743">
        <v>7069124</v>
      </c>
      <c r="AG177" s="137">
        <v>37895172</v>
      </c>
      <c r="AH177" s="743">
        <v>10221450</v>
      </c>
      <c r="AI177" s="137">
        <v>139023928</v>
      </c>
      <c r="AJ177" s="743">
        <v>429913</v>
      </c>
      <c r="AK177" s="137">
        <v>2050057</v>
      </c>
      <c r="AL177" s="743">
        <v>0</v>
      </c>
      <c r="AM177" s="137">
        <v>0</v>
      </c>
      <c r="AN177" s="743">
        <v>472625</v>
      </c>
      <c r="AO177" s="137">
        <v>1651893</v>
      </c>
    </row>
    <row r="178" spans="1:41" ht="15.75" x14ac:dyDescent="0.25">
      <c r="A178"/>
      <c r="B178" s="446"/>
      <c r="U178"/>
      <c r="V178" s="221"/>
      <c r="W178" s="221"/>
      <c r="X178" s="221"/>
      <c r="Y178" s="221"/>
      <c r="Z178" s="221"/>
      <c r="AA178" s="784"/>
      <c r="AC178" s="3"/>
      <c r="AE178" s="3"/>
      <c r="AG178" s="137"/>
      <c r="AI178" s="137"/>
      <c r="AK178" s="137"/>
      <c r="AM178" s="137"/>
      <c r="AO178" s="57"/>
    </row>
    <row r="179" spans="1:41" ht="15.75" x14ac:dyDescent="0.25">
      <c r="A179"/>
      <c r="B179" s="785" t="s">
        <v>252</v>
      </c>
      <c r="U179"/>
      <c r="V179" s="221"/>
      <c r="W179" s="221"/>
      <c r="X179" s="221"/>
      <c r="Y179" s="221"/>
      <c r="Z179" s="221"/>
      <c r="AA179" s="783"/>
      <c r="AB179" s="3">
        <v>3569459</v>
      </c>
      <c r="AC179" s="3">
        <v>13671860</v>
      </c>
      <c r="AD179" s="3">
        <v>1253091</v>
      </c>
      <c r="AE179" s="3">
        <v>4479483</v>
      </c>
      <c r="AF179" s="137">
        <v>5597726</v>
      </c>
      <c r="AG179" s="137">
        <v>21356238</v>
      </c>
      <c r="AH179" s="137">
        <v>5746053</v>
      </c>
      <c r="AI179" s="137">
        <v>822298271</v>
      </c>
      <c r="AJ179" s="137">
        <v>714004</v>
      </c>
      <c r="AK179" s="137">
        <v>2724806</v>
      </c>
      <c r="AL179" s="137">
        <v>2</v>
      </c>
      <c r="AM179" s="137">
        <v>6</v>
      </c>
      <c r="AN179" s="137">
        <v>617679</v>
      </c>
      <c r="AO179" s="137">
        <v>2158878</v>
      </c>
    </row>
    <row r="180" spans="1:41" ht="15.75" x14ac:dyDescent="0.25">
      <c r="A180"/>
      <c r="B180" s="446"/>
      <c r="N180" s="57"/>
      <c r="U180"/>
      <c r="V180" s="221"/>
      <c r="W180" s="221"/>
      <c r="X180" s="221"/>
      <c r="Y180" s="221"/>
      <c r="Z180" s="221"/>
      <c r="AA180" s="783"/>
      <c r="AC180" s="3"/>
      <c r="AE180" s="3"/>
      <c r="AG180" s="137"/>
      <c r="AI180" s="137"/>
      <c r="AK180" s="137"/>
      <c r="AM180" s="137"/>
    </row>
    <row r="181" spans="1:41" s="469" customFormat="1" ht="15.75" x14ac:dyDescent="0.25">
      <c r="B181" s="785" t="s">
        <v>5</v>
      </c>
      <c r="V181" s="744"/>
      <c r="W181" s="744"/>
      <c r="X181" s="744"/>
      <c r="Y181" s="744"/>
      <c r="Z181" s="744"/>
      <c r="AA181" s="783"/>
      <c r="AB181" s="16">
        <v>4752490</v>
      </c>
      <c r="AC181" s="3">
        <v>18353781</v>
      </c>
      <c r="AD181" s="16">
        <v>5495718</v>
      </c>
      <c r="AE181" s="3">
        <v>20043476</v>
      </c>
      <c r="AF181" s="137">
        <v>2261431</v>
      </c>
      <c r="AG181" s="137">
        <v>12542036</v>
      </c>
      <c r="AH181" s="137">
        <v>6974396</v>
      </c>
      <c r="AI181" s="137">
        <v>100988653</v>
      </c>
      <c r="AJ181" s="137">
        <v>503635</v>
      </c>
      <c r="AK181" s="137">
        <v>2204190</v>
      </c>
      <c r="AL181" s="137">
        <v>217630</v>
      </c>
      <c r="AM181" s="137">
        <v>760895</v>
      </c>
      <c r="AN181" s="137">
        <v>1076937</v>
      </c>
      <c r="AO181" s="137">
        <v>3792024</v>
      </c>
    </row>
    <row r="182" spans="1:41" ht="15.75" x14ac:dyDescent="0.25">
      <c r="A182"/>
      <c r="B182" s="446"/>
      <c r="U182"/>
      <c r="V182" s="221"/>
      <c r="W182" s="221"/>
      <c r="X182" s="221"/>
      <c r="Y182" s="221"/>
      <c r="Z182" s="221"/>
      <c r="AA182" s="783"/>
      <c r="AC182" s="3"/>
      <c r="AE182" s="3"/>
      <c r="AG182" s="137"/>
      <c r="AI182" s="137"/>
      <c r="AK182" s="137"/>
      <c r="AM182" s="137"/>
    </row>
    <row r="183" spans="1:41" s="469" customFormat="1" ht="15.75" x14ac:dyDescent="0.25">
      <c r="B183" s="785" t="s">
        <v>8</v>
      </c>
      <c r="V183" s="744"/>
      <c r="W183" s="744"/>
      <c r="X183" s="744"/>
      <c r="Y183" s="744"/>
      <c r="Z183" s="744"/>
      <c r="AA183" s="783"/>
      <c r="AB183" s="16">
        <v>601887</v>
      </c>
      <c r="AC183" s="3">
        <v>3444628</v>
      </c>
      <c r="AD183" s="16">
        <v>91582</v>
      </c>
      <c r="AE183" s="3">
        <v>357419</v>
      </c>
      <c r="AF183" s="137">
        <v>932962</v>
      </c>
      <c r="AG183" s="137">
        <v>4417947</v>
      </c>
      <c r="AH183" s="137">
        <v>892765</v>
      </c>
      <c r="AI183" s="137">
        <v>12989378</v>
      </c>
      <c r="AJ183" s="137">
        <v>47639</v>
      </c>
      <c r="AK183" s="137">
        <v>175191</v>
      </c>
      <c r="AL183" s="137">
        <v>0</v>
      </c>
      <c r="AM183" s="137">
        <v>0</v>
      </c>
      <c r="AN183" s="137">
        <v>452310</v>
      </c>
      <c r="AO183" s="137">
        <v>1580890</v>
      </c>
    </row>
    <row r="184" spans="1:41" ht="15.75" x14ac:dyDescent="0.25">
      <c r="A184"/>
      <c r="B184" s="446"/>
      <c r="U184"/>
      <c r="V184" s="221"/>
      <c r="W184" s="221"/>
      <c r="X184" s="221"/>
      <c r="Y184" s="221"/>
      <c r="Z184" s="221"/>
      <c r="AA184" s="783"/>
      <c r="AC184" s="3"/>
      <c r="AE184" s="3"/>
      <c r="AG184" s="137"/>
      <c r="AI184" s="137"/>
      <c r="AK184" s="137"/>
      <c r="AM184" s="137"/>
    </row>
    <row r="185" spans="1:41" s="469" customFormat="1" ht="15.75" x14ac:dyDescent="0.25">
      <c r="B185" s="785" t="s">
        <v>7</v>
      </c>
      <c r="V185" s="744"/>
      <c r="W185" s="744"/>
      <c r="X185" s="744"/>
      <c r="Y185" s="744"/>
      <c r="Z185" s="744"/>
      <c r="AA185" s="783"/>
      <c r="AB185" s="16">
        <v>686325</v>
      </c>
      <c r="AC185" s="3">
        <v>2566386</v>
      </c>
      <c r="AD185" s="16">
        <v>666727</v>
      </c>
      <c r="AE185" s="3">
        <v>2340899</v>
      </c>
      <c r="AF185" s="137">
        <v>149964</v>
      </c>
      <c r="AG185" s="137">
        <v>608530</v>
      </c>
      <c r="AH185" s="137">
        <v>647151</v>
      </c>
      <c r="AI185" s="137">
        <v>9406084</v>
      </c>
      <c r="AJ185" s="137">
        <v>52474</v>
      </c>
      <c r="AK185" s="137">
        <v>192091</v>
      </c>
      <c r="AL185" s="137">
        <v>0</v>
      </c>
      <c r="AM185" s="137">
        <v>0</v>
      </c>
      <c r="AN185" s="137">
        <v>0</v>
      </c>
      <c r="AO185" s="137">
        <v>0</v>
      </c>
    </row>
    <row r="186" spans="1:41" ht="15.75" x14ac:dyDescent="0.25">
      <c r="A186"/>
      <c r="B186" s="446"/>
      <c r="U186"/>
      <c r="V186" s="221"/>
      <c r="W186" s="221"/>
      <c r="X186" s="221"/>
      <c r="Y186" s="221"/>
      <c r="Z186" s="221"/>
      <c r="AA186" s="783"/>
      <c r="AC186" s="3"/>
      <c r="AE186" s="3"/>
      <c r="AG186" s="137"/>
      <c r="AI186" s="137"/>
      <c r="AK186" s="137"/>
      <c r="AM186" s="137"/>
    </row>
    <row r="187" spans="1:41" s="469" customFormat="1" ht="15.75" x14ac:dyDescent="0.25">
      <c r="B187" s="785" t="s">
        <v>1011</v>
      </c>
      <c r="V187" s="744"/>
      <c r="W187" s="744"/>
      <c r="X187" s="744"/>
      <c r="Y187" s="744"/>
      <c r="Z187" s="744"/>
      <c r="AA187" s="783"/>
      <c r="AB187" s="16">
        <v>1105264</v>
      </c>
      <c r="AC187" s="3">
        <v>4168042</v>
      </c>
      <c r="AD187" s="16">
        <v>484166</v>
      </c>
      <c r="AE187" s="3">
        <v>1698082</v>
      </c>
      <c r="AF187" s="137">
        <v>2001279</v>
      </c>
      <c r="AG187" s="137">
        <v>7879156</v>
      </c>
      <c r="AH187" s="137">
        <v>1051395</v>
      </c>
      <c r="AI187" s="137">
        <v>15264242</v>
      </c>
      <c r="AJ187" s="137">
        <v>187767</v>
      </c>
      <c r="AK187" s="137">
        <v>782467</v>
      </c>
      <c r="AL187" s="137">
        <v>147</v>
      </c>
      <c r="AM187" s="137">
        <v>515</v>
      </c>
      <c r="AN187" s="137">
        <v>299293</v>
      </c>
      <c r="AO187" s="137">
        <v>1046073</v>
      </c>
    </row>
    <row r="188" spans="1:41" ht="15.75" x14ac:dyDescent="0.25">
      <c r="A188"/>
      <c r="B188" s="446"/>
      <c r="U188"/>
      <c r="V188" s="221"/>
      <c r="W188" s="221"/>
      <c r="X188" s="221"/>
      <c r="Y188" s="221"/>
      <c r="Z188" s="221"/>
      <c r="AA188" s="783"/>
      <c r="AC188" s="3"/>
      <c r="AE188" s="3"/>
      <c r="AG188" s="137"/>
      <c r="AI188" s="137"/>
      <c r="AK188" s="137"/>
      <c r="AM188" s="137"/>
    </row>
    <row r="189" spans="1:41" s="469" customFormat="1" ht="15.75" x14ac:dyDescent="0.25">
      <c r="B189" s="785" t="s">
        <v>4</v>
      </c>
      <c r="V189" s="744"/>
      <c r="W189" s="744"/>
      <c r="X189" s="744"/>
      <c r="Y189" s="744"/>
      <c r="Z189" s="744"/>
      <c r="AA189" s="783"/>
      <c r="AB189" s="16">
        <v>3364393</v>
      </c>
      <c r="AC189" s="3">
        <v>11980261</v>
      </c>
      <c r="AD189" s="16">
        <v>1147661</v>
      </c>
      <c r="AE189" s="3">
        <v>4030792</v>
      </c>
      <c r="AF189" s="137">
        <v>4776023</v>
      </c>
      <c r="AG189" s="137">
        <v>18609021</v>
      </c>
      <c r="AH189" s="137">
        <v>2915381</v>
      </c>
      <c r="AI189" s="137">
        <v>42579801</v>
      </c>
      <c r="AJ189" s="137">
        <v>387744</v>
      </c>
      <c r="AK189" s="137">
        <v>1682505</v>
      </c>
      <c r="AL189" s="137">
        <v>168624</v>
      </c>
      <c r="AM189" s="137">
        <v>589365</v>
      </c>
      <c r="AN189" s="137">
        <v>3750306</v>
      </c>
      <c r="AO189" s="137">
        <v>13107865</v>
      </c>
    </row>
    <row r="190" spans="1:41" s="469" customFormat="1" ht="15.75" x14ac:dyDescent="0.25">
      <c r="B190" s="785"/>
      <c r="V190" s="744"/>
      <c r="W190" s="744"/>
      <c r="X190" s="744"/>
      <c r="Y190" s="744"/>
      <c r="Z190" s="744"/>
      <c r="AA190" s="783"/>
      <c r="AB190" s="16"/>
      <c r="AC190" s="3"/>
      <c r="AD190" s="16"/>
      <c r="AE190" s="3"/>
      <c r="AF190" s="137"/>
      <c r="AG190" s="137"/>
      <c r="AH190" s="137"/>
      <c r="AI190" s="137"/>
      <c r="AJ190" s="137"/>
      <c r="AK190" s="137"/>
      <c r="AL190" s="137"/>
      <c r="AM190" s="137"/>
      <c r="AN190" s="137"/>
      <c r="AO190" s="137"/>
    </row>
    <row r="191" spans="1:41" ht="15.75" x14ac:dyDescent="0.25">
      <c r="A191"/>
      <c r="B191" s="446"/>
      <c r="U191"/>
      <c r="V191" s="221"/>
      <c r="W191" s="221"/>
      <c r="X191" s="221"/>
      <c r="Y191" s="221"/>
      <c r="Z191" s="221"/>
      <c r="AA191" s="783"/>
      <c r="AC191" s="3"/>
      <c r="AE191" s="3"/>
      <c r="AG191" s="137"/>
      <c r="AI191" s="137"/>
      <c r="AK191" s="137"/>
      <c r="AM191" s="137"/>
    </row>
    <row r="192" spans="1:41" ht="25.5" customHeight="1" x14ac:dyDescent="0.25">
      <c r="A192">
        <v>38</v>
      </c>
      <c r="B192" s="798" t="s">
        <v>1091</v>
      </c>
      <c r="E192" s="798" t="s">
        <v>1092</v>
      </c>
      <c r="H192" t="s">
        <v>1093</v>
      </c>
      <c r="J192" t="s">
        <v>1094</v>
      </c>
      <c r="O192" t="s">
        <v>1075</v>
      </c>
      <c r="P192" t="s">
        <v>577</v>
      </c>
      <c r="U192"/>
      <c r="V192" s="221"/>
      <c r="W192" s="221"/>
      <c r="X192" s="221"/>
      <c r="Y192" s="221"/>
      <c r="Z192" s="221"/>
      <c r="AA192" s="783"/>
      <c r="AB192" s="734">
        <v>2004</v>
      </c>
      <c r="AC192" s="734">
        <v>2007</v>
      </c>
      <c r="AD192" s="799">
        <v>2011</v>
      </c>
      <c r="AE192" s="3"/>
      <c r="AF192" s="137"/>
      <c r="AG192" s="137"/>
      <c r="AH192" s="137"/>
      <c r="AI192" s="137"/>
      <c r="AJ192" s="137"/>
      <c r="AK192" s="137"/>
      <c r="AL192" s="137"/>
      <c r="AM192" s="137"/>
      <c r="AN192" s="137"/>
    </row>
    <row r="193" spans="1:34" ht="15.75" x14ac:dyDescent="0.25">
      <c r="A193"/>
      <c r="B193" s="3" t="s">
        <v>3</v>
      </c>
      <c r="C193" s="742"/>
      <c r="D193" s="3"/>
      <c r="E193" s="3"/>
      <c r="F193" s="137"/>
      <c r="G193" s="137"/>
      <c r="H193" s="137"/>
      <c r="I193" s="137"/>
      <c r="J193" s="137"/>
      <c r="U193"/>
      <c r="V193" s="221"/>
      <c r="W193" s="221"/>
      <c r="X193" s="221"/>
      <c r="Y193" s="221"/>
      <c r="Z193" s="221"/>
      <c r="AA193" s="447"/>
      <c r="AB193" s="761">
        <v>19071604</v>
      </c>
      <c r="AC193" s="761">
        <v>22538611</v>
      </c>
      <c r="AD193" s="761">
        <v>23258356</v>
      </c>
    </row>
    <row r="194" spans="1:34" ht="15.75" x14ac:dyDescent="0.25">
      <c r="A194"/>
      <c r="B194" s="16" t="s">
        <v>4</v>
      </c>
      <c r="C194" s="731"/>
      <c r="U194"/>
      <c r="V194" s="221"/>
      <c r="W194" s="221"/>
      <c r="X194" s="221"/>
      <c r="Y194" s="221"/>
      <c r="Z194" s="221"/>
      <c r="AA194" s="447"/>
      <c r="AB194" s="761">
        <v>13081841</v>
      </c>
      <c r="AC194" s="761">
        <v>17626379</v>
      </c>
      <c r="AD194" s="761">
        <v>16501042</v>
      </c>
    </row>
    <row r="195" spans="1:34" ht="15.75" x14ac:dyDescent="0.25">
      <c r="A195"/>
      <c r="B195" s="3" t="s">
        <v>5</v>
      </c>
      <c r="U195"/>
      <c r="V195" s="221"/>
      <c r="W195" s="221"/>
      <c r="X195" s="221"/>
      <c r="Y195" s="221"/>
      <c r="Z195" s="221"/>
      <c r="AA195" s="447"/>
      <c r="AB195" s="761">
        <v>17754870</v>
      </c>
      <c r="AC195" s="761">
        <v>20563319</v>
      </c>
      <c r="AD195" s="761">
        <v>20018674</v>
      </c>
    </row>
    <row r="196" spans="1:34" ht="15.75" x14ac:dyDescent="0.25">
      <c r="A196"/>
      <c r="B196" s="3" t="s">
        <v>251</v>
      </c>
      <c r="U196"/>
      <c r="V196" s="221"/>
      <c r="W196" s="221"/>
      <c r="X196" s="221"/>
      <c r="Y196" s="221"/>
      <c r="Z196" s="221"/>
      <c r="AA196" s="447"/>
      <c r="AB196" s="761">
        <v>16054034</v>
      </c>
      <c r="AC196" s="761">
        <v>18084645</v>
      </c>
      <c r="AD196" s="761">
        <v>20474251</v>
      </c>
      <c r="AG196" s="57"/>
    </row>
    <row r="197" spans="1:34" ht="15.75" x14ac:dyDescent="0.25">
      <c r="A197"/>
      <c r="B197" s="3" t="s">
        <v>252</v>
      </c>
      <c r="U197"/>
      <c r="V197" s="221"/>
      <c r="W197" s="221"/>
      <c r="X197" s="221"/>
      <c r="Y197" s="221"/>
      <c r="Z197" s="221"/>
      <c r="AA197" s="447"/>
      <c r="AB197" s="761">
        <v>17406272</v>
      </c>
      <c r="AC197" s="761">
        <v>21053209</v>
      </c>
      <c r="AD197" s="761">
        <v>15816260</v>
      </c>
      <c r="AH197" s="57"/>
    </row>
    <row r="198" spans="1:34" ht="15.75" x14ac:dyDescent="0.25">
      <c r="A198"/>
      <c r="B198" s="3" t="s">
        <v>6</v>
      </c>
      <c r="U198"/>
      <c r="V198" s="221"/>
      <c r="W198" s="221"/>
      <c r="X198" s="221"/>
      <c r="Y198" s="221"/>
      <c r="Z198" s="221"/>
      <c r="AA198" s="447"/>
      <c r="AB198" s="761">
        <v>4418553</v>
      </c>
      <c r="AC198" s="761">
        <v>4929802</v>
      </c>
      <c r="AD198" s="761">
        <v>5129311</v>
      </c>
    </row>
    <row r="199" spans="1:34" ht="15.75" x14ac:dyDescent="0.25">
      <c r="A199"/>
      <c r="B199" s="3" t="s">
        <v>8</v>
      </c>
      <c r="U199"/>
      <c r="V199" s="221"/>
      <c r="W199" s="221"/>
      <c r="X199" s="221"/>
      <c r="Y199" s="221"/>
      <c r="Z199" s="221"/>
      <c r="AA199" s="447"/>
      <c r="AB199" s="761">
        <v>2357672</v>
      </c>
      <c r="AC199" s="761">
        <v>2647902</v>
      </c>
      <c r="AD199" s="761">
        <v>2978551</v>
      </c>
    </row>
    <row r="200" spans="1:34" ht="15.75" x14ac:dyDescent="0.25">
      <c r="A200"/>
      <c r="B200" s="3" t="s">
        <v>7</v>
      </c>
      <c r="U200"/>
      <c r="V200" s="221"/>
      <c r="W200" s="221"/>
      <c r="X200" s="221"/>
      <c r="Y200" s="221"/>
      <c r="Z200" s="221"/>
      <c r="AA200" s="447"/>
      <c r="AB200" s="761">
        <v>2334696</v>
      </c>
      <c r="AC200" s="761"/>
      <c r="AD200" s="761">
        <v>2188349</v>
      </c>
    </row>
    <row r="201" spans="1:34" ht="15.75" x14ac:dyDescent="0.25">
      <c r="A201"/>
      <c r="B201" s="3" t="s">
        <v>800</v>
      </c>
      <c r="U201"/>
      <c r="V201" s="221"/>
      <c r="W201" s="221"/>
      <c r="X201" s="221"/>
      <c r="Y201" s="221"/>
      <c r="Z201" s="221"/>
      <c r="AA201" s="447"/>
      <c r="AB201" s="761"/>
      <c r="AC201" s="761"/>
      <c r="AD201" s="761"/>
    </row>
    <row r="202" spans="1:34" ht="15.75" x14ac:dyDescent="0.25">
      <c r="A202"/>
      <c r="B202" s="3"/>
      <c r="U202"/>
      <c r="V202" s="221"/>
      <c r="W202" s="221"/>
      <c r="X202" s="221"/>
      <c r="Y202" s="221"/>
      <c r="Z202" s="221"/>
      <c r="AA202" s="221"/>
    </row>
    <row r="203" spans="1:34" ht="15.75" x14ac:dyDescent="0.25">
      <c r="A203"/>
      <c r="U203"/>
      <c r="V203" s="221"/>
      <c r="W203" s="221"/>
      <c r="X203" s="221"/>
      <c r="Y203" s="221"/>
      <c r="Z203" s="221"/>
      <c r="AA203" s="221"/>
    </row>
    <row r="204" spans="1:34" ht="15.75" x14ac:dyDescent="0.25">
      <c r="A204"/>
      <c r="U204"/>
      <c r="V204" s="221"/>
      <c r="W204" s="221"/>
      <c r="X204" s="221"/>
      <c r="Y204" s="221"/>
      <c r="Z204" s="221"/>
      <c r="AA204" s="221"/>
    </row>
    <row r="205" spans="1:34" ht="15.75" x14ac:dyDescent="0.25">
      <c r="A205"/>
      <c r="U205"/>
      <c r="V205" s="221"/>
      <c r="W205" s="221"/>
      <c r="X205" s="221"/>
      <c r="Y205" s="221"/>
      <c r="Z205" s="221"/>
      <c r="AA205" s="221"/>
    </row>
    <row r="206" spans="1:34" ht="15.75" x14ac:dyDescent="0.25">
      <c r="A206"/>
      <c r="U206"/>
      <c r="V206" s="221"/>
      <c r="W206" s="221"/>
      <c r="X206" s="221"/>
      <c r="Y206" s="221"/>
      <c r="Z206" s="221"/>
      <c r="AA206" s="221"/>
    </row>
    <row r="207" spans="1:34" ht="15.75" x14ac:dyDescent="0.25">
      <c r="A207"/>
      <c r="U207"/>
      <c r="V207" s="221"/>
      <c r="W207" s="221"/>
      <c r="X207" s="221"/>
      <c r="Y207" s="221"/>
      <c r="Z207" s="221"/>
      <c r="AA207" s="221"/>
    </row>
    <row r="208" spans="1:34" ht="15.75" x14ac:dyDescent="0.25">
      <c r="A208"/>
      <c r="U208"/>
      <c r="V208" s="221"/>
      <c r="W208" s="221"/>
      <c r="X208" s="221"/>
      <c r="Y208" s="221"/>
      <c r="Z208" s="221"/>
      <c r="AA208" s="221"/>
    </row>
    <row r="209" spans="1:27" ht="15.75" x14ac:dyDescent="0.25">
      <c r="A209"/>
      <c r="U209"/>
      <c r="V209" s="221"/>
      <c r="W209" s="221"/>
      <c r="X209" s="221"/>
      <c r="Y209" s="221"/>
      <c r="Z209" s="221"/>
      <c r="AA209" s="221"/>
    </row>
    <row r="210" spans="1:27" ht="15.75" x14ac:dyDescent="0.25">
      <c r="A210"/>
      <c r="U210"/>
      <c r="V210" s="221"/>
      <c r="W210" s="221"/>
      <c r="X210" s="221"/>
      <c r="Y210" s="221"/>
      <c r="Z210" s="221"/>
      <c r="AA210" s="221"/>
    </row>
    <row r="211" spans="1:27" ht="15.75" x14ac:dyDescent="0.25">
      <c r="A211"/>
      <c r="U211"/>
      <c r="V211" s="221"/>
      <c r="W211" s="221"/>
      <c r="X211" s="221"/>
      <c r="Y211" s="221"/>
      <c r="Z211" s="221"/>
      <c r="AA211" s="221"/>
    </row>
    <row r="212" spans="1:27" ht="15.75" x14ac:dyDescent="0.25">
      <c r="A212"/>
      <c r="U212"/>
      <c r="V212" s="221"/>
      <c r="W212" s="221"/>
      <c r="X212" s="221"/>
      <c r="Y212" s="221"/>
      <c r="Z212" s="221"/>
      <c r="AA212" s="221"/>
    </row>
    <row r="213" spans="1:27" ht="15.75" x14ac:dyDescent="0.25">
      <c r="A213"/>
      <c r="U213"/>
      <c r="V213" s="221"/>
      <c r="W213" s="221"/>
      <c r="X213" s="221"/>
      <c r="Y213" s="221"/>
      <c r="Z213" s="221"/>
      <c r="AA213" s="221"/>
    </row>
    <row r="214" spans="1:27" ht="15.75" x14ac:dyDescent="0.25">
      <c r="A214"/>
      <c r="U214"/>
      <c r="V214" s="221"/>
      <c r="W214" s="221"/>
      <c r="X214" s="221"/>
      <c r="Y214" s="221"/>
      <c r="Z214" s="221"/>
      <c r="AA214" s="221"/>
    </row>
    <row r="215" spans="1:27" ht="15.75" x14ac:dyDescent="0.25">
      <c r="A215"/>
      <c r="U215"/>
      <c r="V215" s="221"/>
      <c r="W215" s="221"/>
      <c r="X215" s="221"/>
      <c r="Y215" s="221"/>
      <c r="Z215" s="221"/>
      <c r="AA215" s="221"/>
    </row>
    <row r="216" spans="1:27" ht="15.75" x14ac:dyDescent="0.25">
      <c r="A216"/>
      <c r="U216"/>
      <c r="V216" s="221"/>
      <c r="W216" s="221"/>
      <c r="X216" s="221"/>
      <c r="Y216" s="221"/>
      <c r="Z216" s="221"/>
      <c r="AA216" s="221"/>
    </row>
    <row r="217" spans="1:27" ht="15.75" x14ac:dyDescent="0.25">
      <c r="A217"/>
      <c r="U217"/>
      <c r="V217" s="221"/>
      <c r="W217" s="221"/>
      <c r="X217" s="221"/>
      <c r="Y217" s="221"/>
      <c r="Z217" s="221"/>
      <c r="AA217" s="221"/>
    </row>
    <row r="218" spans="1:27" ht="15.75" x14ac:dyDescent="0.25">
      <c r="A218"/>
      <c r="U218"/>
      <c r="V218" s="221"/>
      <c r="W218" s="221"/>
      <c r="X218" s="221"/>
      <c r="Y218" s="221"/>
      <c r="Z218" s="221"/>
      <c r="AA218" s="221"/>
    </row>
    <row r="219" spans="1:27" ht="15.75" x14ac:dyDescent="0.25">
      <c r="A219"/>
      <c r="U219"/>
      <c r="V219" s="221"/>
      <c r="W219" s="221"/>
      <c r="X219" s="221"/>
      <c r="Y219" s="221"/>
      <c r="Z219" s="221"/>
      <c r="AA219" s="221"/>
    </row>
    <row r="220" spans="1:27" ht="15.75" x14ac:dyDescent="0.25">
      <c r="A220"/>
      <c r="U220"/>
      <c r="V220" s="221"/>
      <c r="W220" s="221"/>
      <c r="X220" s="221"/>
      <c r="Y220" s="221"/>
      <c r="Z220" s="221"/>
      <c r="AA220" s="221"/>
    </row>
    <row r="221" spans="1:27" ht="15.75" x14ac:dyDescent="0.25">
      <c r="A221"/>
      <c r="U221"/>
      <c r="V221" s="221"/>
      <c r="W221" s="221"/>
      <c r="X221" s="221"/>
      <c r="Y221" s="221"/>
      <c r="Z221" s="221"/>
      <c r="AA221" s="221"/>
    </row>
    <row r="222" spans="1:27" ht="15.75" x14ac:dyDescent="0.25">
      <c r="A222"/>
      <c r="U222"/>
      <c r="V222" s="221"/>
      <c r="W222" s="221"/>
      <c r="X222" s="221"/>
      <c r="Y222" s="221"/>
      <c r="Z222" s="221"/>
      <c r="AA222" s="221"/>
    </row>
    <row r="223" spans="1:27" ht="15.75" x14ac:dyDescent="0.25">
      <c r="A223"/>
      <c r="U223"/>
      <c r="V223" s="221"/>
      <c r="W223" s="221"/>
      <c r="X223" s="221"/>
      <c r="Y223" s="221"/>
      <c r="Z223" s="221"/>
      <c r="AA223" s="221"/>
    </row>
    <row r="224" spans="1:27" ht="15.75" x14ac:dyDescent="0.25">
      <c r="A224"/>
      <c r="U224"/>
      <c r="V224" s="221"/>
      <c r="W224" s="221"/>
      <c r="X224" s="221"/>
      <c r="Y224" s="221"/>
      <c r="Z224" s="221"/>
      <c r="AA224" s="221"/>
    </row>
    <row r="225" spans="1:27" ht="15.75" x14ac:dyDescent="0.25">
      <c r="A225"/>
      <c r="U225"/>
      <c r="V225" s="221"/>
      <c r="W225" s="221"/>
      <c r="X225" s="221"/>
      <c r="Y225" s="221"/>
      <c r="Z225" s="221"/>
      <c r="AA225" s="221"/>
    </row>
    <row r="226" spans="1:27" ht="15.75" x14ac:dyDescent="0.25">
      <c r="A226"/>
      <c r="U226"/>
      <c r="V226" s="221"/>
      <c r="W226" s="221"/>
      <c r="X226" s="221"/>
      <c r="Y226" s="221"/>
      <c r="Z226" s="221"/>
      <c r="AA226" s="221"/>
    </row>
    <row r="227" spans="1:27" ht="15.75" x14ac:dyDescent="0.25">
      <c r="A227"/>
      <c r="U227"/>
      <c r="V227" s="221"/>
      <c r="W227" s="221"/>
      <c r="X227" s="221"/>
      <c r="Y227" s="221"/>
      <c r="Z227" s="221"/>
      <c r="AA227" s="221"/>
    </row>
    <row r="228" spans="1:27" ht="15.75" x14ac:dyDescent="0.25">
      <c r="A228"/>
      <c r="U228"/>
      <c r="V228" s="221"/>
      <c r="W228" s="221"/>
      <c r="X228" s="221"/>
      <c r="Y228" s="221"/>
      <c r="Z228" s="221"/>
      <c r="AA228" s="221"/>
    </row>
  </sheetData>
  <mergeCells count="62">
    <mergeCell ref="BF11:BH11"/>
    <mergeCell ref="AQ100:AS100"/>
    <mergeCell ref="AT100:AV100"/>
    <mergeCell ref="AB65:AF65"/>
    <mergeCell ref="AH65:AL65"/>
    <mergeCell ref="AN65:AP65"/>
    <mergeCell ref="AQ65:AS65"/>
    <mergeCell ref="AT65:AV65"/>
    <mergeCell ref="AQ88:AS88"/>
    <mergeCell ref="AT88:AV88"/>
    <mergeCell ref="AB88:AF88"/>
    <mergeCell ref="AH88:AL88"/>
    <mergeCell ref="AN88:AP88"/>
    <mergeCell ref="AB100:AF100"/>
    <mergeCell ref="AH100:AL100"/>
    <mergeCell ref="AN100:AP100"/>
    <mergeCell ref="AZ65:BB65"/>
    <mergeCell ref="BC65:BE65"/>
    <mergeCell ref="BF65:BH65"/>
    <mergeCell ref="AZ88:BB88"/>
    <mergeCell ref="AW100:AY100"/>
    <mergeCell ref="AZ100:BB100"/>
    <mergeCell ref="AW65:AY65"/>
    <mergeCell ref="AW88:AY88"/>
    <mergeCell ref="BC100:BE100"/>
    <mergeCell ref="BF100:BH100"/>
    <mergeCell ref="AP158:AQ158"/>
    <mergeCell ref="AB158:AD158"/>
    <mergeCell ref="AF158:AH158"/>
    <mergeCell ref="AJ158:AL158"/>
    <mergeCell ref="AN158:AO158"/>
    <mergeCell ref="AB140:AH140"/>
    <mergeCell ref="AB141:AD141"/>
    <mergeCell ref="AF141:AH141"/>
    <mergeCell ref="AT140:AW140"/>
    <mergeCell ref="AT141:AU141"/>
    <mergeCell ref="AV141:AW141"/>
    <mergeCell ref="AJ140:AO140"/>
    <mergeCell ref="AJ141:AL141"/>
    <mergeCell ref="AN141:AO141"/>
    <mergeCell ref="AP140:AS140"/>
    <mergeCell ref="AP141:AQ141"/>
    <mergeCell ref="AR141:AS141"/>
    <mergeCell ref="AX140:BA140"/>
    <mergeCell ref="AX141:AY141"/>
    <mergeCell ref="AZ141:BA141"/>
    <mergeCell ref="BJ140:BM140"/>
    <mergeCell ref="BJ141:BK141"/>
    <mergeCell ref="BL141:BM141"/>
    <mergeCell ref="BB140:BE140"/>
    <mergeCell ref="BB141:BC141"/>
    <mergeCell ref="BD141:BE141"/>
    <mergeCell ref="BF140:BI140"/>
    <mergeCell ref="BF141:BG141"/>
    <mergeCell ref="BH141:BI141"/>
    <mergeCell ref="AL173:AM173"/>
    <mergeCell ref="AN173:AO173"/>
    <mergeCell ref="AB173:AC173"/>
    <mergeCell ref="AD173:AE173"/>
    <mergeCell ref="AF173:AG173"/>
    <mergeCell ref="AH173:AI173"/>
    <mergeCell ref="AJ173:AK173"/>
  </mergeCells>
  <hyperlinks>
    <hyperlink ref="N31"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7"/>
  <sheetViews>
    <sheetView zoomScale="90" zoomScaleNormal="90" workbookViewId="0">
      <pane xSplit="2" ySplit="10" topLeftCell="U189" activePane="bottomRight" state="frozen"/>
      <selection pane="topRight" activeCell="C1" sqref="C1"/>
      <selection pane="bottomLeft" activeCell="A11" sqref="A11"/>
      <selection pane="bottomRight" activeCell="R191" sqref="R191"/>
    </sheetView>
  </sheetViews>
  <sheetFormatPr defaultRowHeight="15" outlineLevelCol="1" x14ac:dyDescent="0.25"/>
  <cols>
    <col min="1" max="1" width="3" style="3" bestFit="1" customWidth="1"/>
    <col min="2" max="2" width="26.7109375" customWidth="1"/>
    <col min="3" max="3" width="38" customWidth="1"/>
    <col min="4" max="4" width="12.42578125" customWidth="1" outlineLevel="1"/>
    <col min="5" max="5" width="17.7109375" customWidth="1" outlineLevel="1"/>
    <col min="6" max="6" width="13" customWidth="1" outlineLevel="1"/>
    <col min="7" max="7" width="12.85546875" customWidth="1" outlineLevel="1"/>
    <col min="8" max="8" width="36.7109375" customWidth="1"/>
    <col min="9" max="9" width="29.5703125" customWidth="1" outlineLevel="1"/>
    <col min="10" max="10" width="18.5703125" customWidth="1"/>
    <col min="11" max="11" width="30.5703125" bestFit="1" customWidth="1" outlineLevel="1"/>
    <col min="12" max="12" width="10.85546875" customWidth="1" outlineLevel="1"/>
    <col min="13" max="13" width="13.28515625" customWidth="1" outlineLevel="1"/>
    <col min="14" max="14" width="10.7109375" customWidth="1" outlineLevel="1"/>
    <col min="15" max="15" width="14.140625" customWidth="1"/>
    <col min="16" max="16" width="17.85546875" customWidth="1" outlineLevel="1"/>
    <col min="17" max="17" width="13.28515625" customWidth="1"/>
    <col min="18" max="18" width="68.42578125" customWidth="1"/>
    <col min="19" max="19" width="11" style="3" customWidth="1" outlineLevel="1"/>
    <col min="20" max="25" width="9.7109375" style="3" customWidth="1"/>
    <col min="26" max="26" width="14.42578125" customWidth="1"/>
    <col min="27" max="27" width="12" customWidth="1"/>
    <col min="28" max="28" width="15.7109375" customWidth="1"/>
    <col min="29" max="29" width="13.140625" customWidth="1"/>
    <col min="30" max="30" width="13.42578125" customWidth="1"/>
    <col min="31" max="31" width="13.85546875" customWidth="1"/>
    <col min="32" max="32" width="12.42578125" customWidth="1"/>
    <col min="33" max="33" width="14.140625" customWidth="1"/>
    <col min="34" max="34" width="11.140625" customWidth="1"/>
    <col min="35" max="35" width="14.140625" customWidth="1"/>
    <col min="36" max="36" width="13.7109375" customWidth="1"/>
    <col min="37" max="37" width="13.42578125" customWidth="1"/>
    <col min="38" max="38" width="13.5703125" customWidth="1"/>
    <col min="39" max="39" width="14" customWidth="1"/>
    <col min="40" max="40" width="13" customWidth="1"/>
    <col min="41" max="41" width="12.5703125" customWidth="1"/>
    <col min="42" max="42" width="12.85546875" customWidth="1"/>
    <col min="43" max="43" width="12.42578125" customWidth="1"/>
    <col min="44" max="44" width="13" customWidth="1"/>
    <col min="45" max="45" width="14.42578125" customWidth="1"/>
    <col min="46" max="46" width="14.28515625" customWidth="1"/>
    <col min="47" max="47" width="12.7109375" customWidth="1"/>
    <col min="48" max="48" width="13.28515625" customWidth="1"/>
    <col min="49" max="49" width="15.42578125" customWidth="1"/>
    <col min="50" max="51" width="13.85546875" customWidth="1"/>
    <col min="52" max="52" width="13.28515625" customWidth="1"/>
  </cols>
  <sheetData>
    <row r="1" spans="1:50" s="1" customFormat="1" ht="8.2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0" s="1" customFormat="1"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50" s="1" customFormat="1" ht="8.25" customHeight="1" x14ac:dyDescent="0.25">
      <c r="A3" s="2"/>
      <c r="B3" s="2"/>
      <c r="C3" s="2"/>
      <c r="D3" s="2"/>
      <c r="E3" s="2"/>
      <c r="F3" s="2"/>
      <c r="G3" s="2"/>
      <c r="H3" s="2"/>
      <c r="I3" s="2"/>
      <c r="J3" s="2"/>
      <c r="K3" s="2"/>
      <c r="L3" s="2"/>
      <c r="M3" s="2"/>
      <c r="N3" s="2"/>
      <c r="O3" s="2"/>
      <c r="P3" s="2"/>
      <c r="Q3" s="2"/>
      <c r="R3" s="2"/>
      <c r="S3" s="2"/>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row>
    <row r="4" spans="1:50" s="1" customFormat="1" ht="18.75" x14ac:dyDescent="0.3">
      <c r="A4" s="2"/>
      <c r="B4" s="116" t="s">
        <v>0</v>
      </c>
      <c r="C4" s="117"/>
      <c r="D4" s="117"/>
      <c r="E4" s="117"/>
      <c r="F4" s="117"/>
      <c r="G4" s="117"/>
      <c r="H4" s="117"/>
      <c r="I4" s="117"/>
      <c r="J4" s="117"/>
      <c r="K4" s="117"/>
      <c r="L4" s="117"/>
      <c r="M4" s="117"/>
      <c r="N4" s="117"/>
      <c r="O4" s="117"/>
      <c r="P4" s="117"/>
      <c r="Q4" s="117"/>
      <c r="R4" s="117"/>
      <c r="S4" s="117"/>
      <c r="T4" s="134"/>
      <c r="U4" s="134"/>
      <c r="V4" s="134"/>
      <c r="W4" s="134"/>
      <c r="X4" s="134"/>
      <c r="Y4" s="134"/>
      <c r="Z4" s="134"/>
      <c r="AA4" s="134"/>
      <c r="AB4" s="266"/>
      <c r="AC4" s="134"/>
      <c r="AD4" s="266"/>
      <c r="AE4" s="266"/>
      <c r="AF4" s="266"/>
      <c r="AG4" s="266"/>
      <c r="AH4" s="266"/>
      <c r="AI4" s="266"/>
      <c r="AJ4" s="266"/>
      <c r="AK4" s="266"/>
      <c r="AL4" s="266"/>
      <c r="AM4" s="266"/>
      <c r="AN4" s="134"/>
      <c r="AO4" s="134"/>
      <c r="AP4" s="134"/>
      <c r="AQ4" s="134"/>
      <c r="AR4" s="134"/>
      <c r="AS4" s="134"/>
      <c r="AT4" s="134"/>
      <c r="AU4" s="134"/>
      <c r="AV4" s="134"/>
      <c r="AW4" s="134"/>
    </row>
    <row r="5" spans="1:50" s="1" customFormat="1" ht="14.25" customHeight="1" x14ac:dyDescent="0.3">
      <c r="A5" s="2"/>
      <c r="B5" s="133" t="s">
        <v>160</v>
      </c>
      <c r="C5" s="117"/>
      <c r="D5" s="117"/>
      <c r="E5" s="117"/>
      <c r="F5" s="117"/>
      <c r="G5" s="117"/>
      <c r="H5" s="117"/>
      <c r="I5" s="117"/>
      <c r="J5" s="117"/>
      <c r="K5" s="117"/>
      <c r="L5" s="117"/>
      <c r="M5" s="117"/>
      <c r="N5" s="117"/>
      <c r="O5" s="117"/>
      <c r="P5" s="117"/>
      <c r="Q5" s="117"/>
      <c r="R5" s="117"/>
      <c r="S5" s="117"/>
      <c r="T5" s="134"/>
      <c r="U5" s="134"/>
      <c r="V5" s="134"/>
      <c r="W5" s="134"/>
      <c r="X5" s="134"/>
      <c r="Y5" s="134"/>
      <c r="Z5" s="134"/>
      <c r="AA5" s="134"/>
      <c r="AB5" s="134"/>
      <c r="AC5" s="134"/>
      <c r="AD5" s="266"/>
      <c r="AE5" s="267"/>
      <c r="AF5" s="267"/>
      <c r="AG5" s="267"/>
      <c r="AH5" s="267"/>
      <c r="AI5" s="267"/>
      <c r="AJ5" s="267"/>
      <c r="AK5" s="267"/>
      <c r="AL5" s="267"/>
      <c r="AM5" s="267"/>
      <c r="AN5" s="134"/>
      <c r="AO5" s="134"/>
      <c r="AP5" s="134"/>
      <c r="AQ5" s="134"/>
      <c r="AR5" s="134"/>
      <c r="AS5" s="134"/>
      <c r="AT5" s="134"/>
      <c r="AU5" s="134"/>
      <c r="AV5" s="134"/>
      <c r="AW5" s="134"/>
    </row>
    <row r="6" spans="1:50" s="1" customFormat="1" ht="8.25" customHeight="1" x14ac:dyDescent="0.25">
      <c r="A6" s="2"/>
      <c r="B6" s="2"/>
      <c r="C6" s="2"/>
      <c r="D6" s="2"/>
      <c r="E6" s="2"/>
      <c r="F6" s="2"/>
      <c r="G6" s="2"/>
      <c r="H6" s="2"/>
      <c r="I6" s="2"/>
      <c r="J6" s="2"/>
      <c r="K6" s="2"/>
      <c r="L6" s="2"/>
      <c r="M6" s="2"/>
      <c r="N6" s="2"/>
      <c r="O6" s="2"/>
      <c r="P6" s="2"/>
      <c r="Q6" s="2"/>
      <c r="R6" s="2"/>
      <c r="S6" s="2"/>
      <c r="T6" s="134"/>
      <c r="U6" s="134"/>
      <c r="V6" s="134"/>
      <c r="W6" s="134"/>
      <c r="X6" s="134"/>
      <c r="Y6" s="134"/>
      <c r="Z6" s="134"/>
      <c r="AA6" s="134"/>
      <c r="AB6" s="134"/>
      <c r="AC6" s="134"/>
      <c r="AD6" s="267"/>
      <c r="AE6" s="134"/>
      <c r="AF6" s="134"/>
      <c r="AG6" s="134"/>
      <c r="AH6" s="134"/>
      <c r="AI6" s="134"/>
      <c r="AJ6" s="134"/>
      <c r="AK6" s="134"/>
      <c r="AL6" s="134"/>
      <c r="AM6" s="134"/>
      <c r="AN6" s="134"/>
      <c r="AO6" s="134"/>
      <c r="AP6" s="134"/>
      <c r="AQ6" s="134"/>
      <c r="AR6" s="134"/>
      <c r="AS6" s="134"/>
      <c r="AT6" s="134"/>
      <c r="AU6" s="134"/>
      <c r="AV6" s="134"/>
      <c r="AW6" s="134"/>
    </row>
    <row r="7" spans="1:50" s="1" customFormat="1" ht="8.25" customHeight="1" x14ac:dyDescent="0.25">
      <c r="A7" s="2"/>
      <c r="B7" s="2"/>
      <c r="C7" s="2"/>
      <c r="D7" s="2"/>
      <c r="E7" s="2"/>
      <c r="F7" s="2"/>
      <c r="G7" s="2"/>
      <c r="H7" s="2"/>
      <c r="I7" s="2"/>
      <c r="J7" s="2"/>
      <c r="K7" s="2"/>
      <c r="L7" s="2"/>
      <c r="M7" s="2"/>
      <c r="N7" s="2"/>
      <c r="O7" s="2"/>
      <c r="P7" s="2"/>
      <c r="Q7" s="2"/>
      <c r="R7" s="2"/>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row>
    <row r="8" spans="1:50" s="194" customFormat="1" x14ac:dyDescent="0.25">
      <c r="A8" s="192"/>
      <c r="B8" s="192"/>
      <c r="C8" s="192"/>
      <c r="D8" s="192"/>
      <c r="E8" s="192"/>
      <c r="F8" s="192"/>
      <c r="G8" s="192"/>
      <c r="H8" s="192"/>
      <c r="I8" s="192"/>
      <c r="J8" s="192"/>
      <c r="K8" s="192"/>
      <c r="L8" s="192"/>
      <c r="M8" s="192"/>
      <c r="N8" s="192"/>
      <c r="O8" s="192"/>
      <c r="P8" s="192"/>
      <c r="Q8" s="192"/>
      <c r="R8" s="192"/>
      <c r="S8" s="83" t="s">
        <v>793</v>
      </c>
      <c r="T8" s="173" t="s">
        <v>783</v>
      </c>
      <c r="U8" s="174"/>
      <c r="V8" s="174"/>
      <c r="W8" s="174"/>
      <c r="X8" s="174"/>
      <c r="Y8" s="175"/>
      <c r="Z8" s="83"/>
      <c r="AA8" s="83"/>
      <c r="AB8" s="83"/>
      <c r="AC8" s="83"/>
      <c r="AD8" s="83"/>
      <c r="AE8" s="83"/>
      <c r="AF8" s="83"/>
      <c r="AG8" s="83"/>
      <c r="AH8" s="83"/>
      <c r="AI8" s="83"/>
      <c r="AJ8" s="83"/>
      <c r="AK8" s="83"/>
      <c r="AL8" s="83"/>
      <c r="AM8" s="83"/>
      <c r="AN8" s="83"/>
      <c r="AO8" s="83"/>
      <c r="AP8" s="83"/>
      <c r="AQ8" s="83"/>
      <c r="AR8" s="83"/>
      <c r="AS8" s="83"/>
      <c r="AT8" s="83"/>
      <c r="AU8" s="83"/>
      <c r="AV8" s="83"/>
      <c r="AW8" s="83"/>
    </row>
    <row r="9" spans="1:50" s="194" customFormat="1" x14ac:dyDescent="0.25">
      <c r="A9" s="75"/>
      <c r="B9" s="75"/>
      <c r="C9" s="75"/>
      <c r="D9" s="75"/>
      <c r="E9" s="75"/>
      <c r="F9" s="75"/>
      <c r="G9" s="75"/>
      <c r="H9" s="75"/>
      <c r="I9" s="75"/>
      <c r="J9" s="75"/>
      <c r="K9" s="75"/>
      <c r="L9" s="75"/>
      <c r="M9" s="75"/>
      <c r="N9" s="75"/>
      <c r="O9" s="75"/>
      <c r="P9" s="75"/>
      <c r="Q9" s="75"/>
      <c r="R9" s="75"/>
      <c r="S9" s="75"/>
      <c r="T9" s="176" t="s">
        <v>784</v>
      </c>
      <c r="U9" s="172"/>
      <c r="V9" s="172"/>
      <c r="W9" s="179" t="s">
        <v>785</v>
      </c>
      <c r="X9" s="172"/>
      <c r="Y9" s="177"/>
      <c r="Z9" s="75"/>
      <c r="AA9" s="75"/>
      <c r="AB9" s="75"/>
      <c r="AC9" s="75"/>
      <c r="AD9" s="75"/>
      <c r="AE9" s="75"/>
      <c r="AF9" s="75"/>
      <c r="AG9" s="75"/>
      <c r="AH9" s="75"/>
      <c r="AI9" s="75"/>
      <c r="AJ9" s="75"/>
      <c r="AK9" s="75"/>
      <c r="AL9" s="75"/>
      <c r="AM9" s="75"/>
      <c r="AN9" s="75"/>
      <c r="AO9" s="75"/>
      <c r="AP9" s="75"/>
      <c r="AQ9" s="75"/>
      <c r="AR9" s="75"/>
      <c r="AS9" s="75"/>
      <c r="AT9" s="75"/>
      <c r="AU9" s="75"/>
      <c r="AV9" s="75"/>
      <c r="AW9" s="75"/>
    </row>
    <row r="10" spans="1:50" s="15" customFormat="1" ht="24" x14ac:dyDescent="0.2">
      <c r="A10" s="166"/>
      <c r="B10" s="84" t="s">
        <v>261</v>
      </c>
      <c r="C10" s="167" t="s">
        <v>262</v>
      </c>
      <c r="D10" s="167" t="s">
        <v>263</v>
      </c>
      <c r="E10" s="167" t="s">
        <v>264</v>
      </c>
      <c r="F10" s="167" t="s">
        <v>265</v>
      </c>
      <c r="G10" s="167" t="s">
        <v>344</v>
      </c>
      <c r="H10" s="167" t="s">
        <v>267</v>
      </c>
      <c r="I10" s="167" t="s">
        <v>268</v>
      </c>
      <c r="J10" s="167" t="s">
        <v>269</v>
      </c>
      <c r="K10" s="167" t="s">
        <v>270</v>
      </c>
      <c r="L10" s="167" t="s">
        <v>271</v>
      </c>
      <c r="M10" s="167" t="s">
        <v>444</v>
      </c>
      <c r="N10" s="167" t="s">
        <v>341</v>
      </c>
      <c r="O10" s="167" t="s">
        <v>273</v>
      </c>
      <c r="P10" s="167" t="s">
        <v>272</v>
      </c>
      <c r="Q10" s="170" t="s">
        <v>274</v>
      </c>
      <c r="R10" s="84" t="s">
        <v>275</v>
      </c>
      <c r="S10" s="188"/>
      <c r="T10" s="209" t="s">
        <v>795</v>
      </c>
      <c r="U10" s="84" t="s">
        <v>789</v>
      </c>
      <c r="V10" s="84" t="s">
        <v>790</v>
      </c>
      <c r="W10" s="180" t="s">
        <v>791</v>
      </c>
      <c r="X10" s="84" t="s">
        <v>789</v>
      </c>
      <c r="Y10" s="178" t="s">
        <v>786</v>
      </c>
      <c r="Z10" s="84"/>
      <c r="AA10" s="84"/>
      <c r="AB10" s="84"/>
      <c r="AC10" s="84"/>
      <c r="AD10" s="84"/>
      <c r="AE10" s="84"/>
      <c r="AF10" s="84"/>
      <c r="AG10" s="84"/>
      <c r="AH10" s="84"/>
      <c r="AI10" s="84"/>
      <c r="AJ10" s="84"/>
      <c r="AK10" s="84"/>
      <c r="AL10" s="84"/>
      <c r="AM10" s="84"/>
      <c r="AN10" s="84"/>
      <c r="AO10" s="84"/>
      <c r="AP10" s="84"/>
      <c r="AQ10" s="84"/>
      <c r="AR10" s="84"/>
      <c r="AS10" s="84"/>
      <c r="AT10" s="84"/>
      <c r="AU10" s="168"/>
      <c r="AV10" s="168"/>
      <c r="AW10" s="168"/>
      <c r="AX10" s="169"/>
    </row>
    <row r="11" spans="1:50" s="3" customFormat="1" ht="24" x14ac:dyDescent="0.2">
      <c r="A11" s="148">
        <v>1</v>
      </c>
      <c r="B11" s="129" t="s">
        <v>69</v>
      </c>
      <c r="C11" s="130" t="s">
        <v>445</v>
      </c>
      <c r="D11" s="129" t="s">
        <v>446</v>
      </c>
      <c r="E11" s="129" t="s">
        <v>447</v>
      </c>
      <c r="F11" s="129" t="s">
        <v>350</v>
      </c>
      <c r="G11" s="129" t="s">
        <v>306</v>
      </c>
      <c r="H11" s="130" t="s">
        <v>448</v>
      </c>
      <c r="I11" s="130" t="s">
        <v>449</v>
      </c>
      <c r="J11" s="130" t="s">
        <v>286</v>
      </c>
      <c r="K11" s="129" t="s">
        <v>350</v>
      </c>
      <c r="L11" s="129"/>
      <c r="M11" s="129" t="s">
        <v>285</v>
      </c>
      <c r="N11" s="129" t="s">
        <v>286</v>
      </c>
      <c r="O11" s="130" t="s">
        <v>450</v>
      </c>
      <c r="P11" s="130" t="s">
        <v>451</v>
      </c>
      <c r="Q11" s="130"/>
      <c r="R11" s="130" t="s">
        <v>955</v>
      </c>
      <c r="T11" s="213"/>
      <c r="U11" s="189" t="s">
        <v>794</v>
      </c>
      <c r="V11" s="189"/>
      <c r="W11" s="214"/>
      <c r="X11" s="189"/>
      <c r="Y11" s="781"/>
      <c r="Z11" s="7"/>
      <c r="AA11" s="7"/>
      <c r="AB11" s="7"/>
      <c r="AC11" s="7"/>
      <c r="AD11" s="7"/>
      <c r="AE11" s="7"/>
      <c r="AF11" s="7"/>
      <c r="AG11" s="7"/>
      <c r="AH11" s="7"/>
      <c r="AI11" s="7"/>
      <c r="AJ11" s="7"/>
      <c r="AK11" s="7"/>
      <c r="AL11" s="7"/>
      <c r="AM11" s="7"/>
      <c r="AN11" s="7"/>
      <c r="AO11" s="7"/>
      <c r="AP11" s="7"/>
      <c r="AQ11" s="7"/>
      <c r="AR11" s="7"/>
      <c r="AS11" s="7"/>
      <c r="AT11" s="7"/>
      <c r="AU11" s="7"/>
      <c r="AV11" s="7"/>
      <c r="AW11" s="31"/>
    </row>
    <row r="12" spans="1:50" s="3" customFormat="1" ht="60" x14ac:dyDescent="0.2">
      <c r="A12" s="148">
        <v>2</v>
      </c>
      <c r="B12" s="129" t="s">
        <v>70</v>
      </c>
      <c r="C12" s="130" t="s">
        <v>452</v>
      </c>
      <c r="D12" s="129" t="s">
        <v>446</v>
      </c>
      <c r="E12" s="129" t="s">
        <v>447</v>
      </c>
      <c r="F12" s="129" t="s">
        <v>350</v>
      </c>
      <c r="G12" s="129" t="s">
        <v>279</v>
      </c>
      <c r="H12" s="130" t="s">
        <v>448</v>
      </c>
      <c r="I12" s="130" t="s">
        <v>453</v>
      </c>
      <c r="J12" s="130" t="s">
        <v>454</v>
      </c>
      <c r="K12" s="129" t="s">
        <v>455</v>
      </c>
      <c r="L12" s="129"/>
      <c r="M12" s="129" t="s">
        <v>456</v>
      </c>
      <c r="N12" s="129" t="s">
        <v>286</v>
      </c>
      <c r="O12" s="130" t="s">
        <v>409</v>
      </c>
      <c r="P12" s="130" t="s">
        <v>457</v>
      </c>
      <c r="Q12" s="130"/>
      <c r="R12" s="130" t="s">
        <v>955</v>
      </c>
      <c r="S12" s="189"/>
      <c r="T12" s="213"/>
      <c r="U12" s="189" t="s">
        <v>794</v>
      </c>
      <c r="V12" s="189"/>
      <c r="W12" s="214"/>
      <c r="X12" s="189"/>
      <c r="Y12" s="215"/>
      <c r="Z12" s="7"/>
      <c r="AA12" s="7"/>
      <c r="AB12" s="7"/>
      <c r="AC12" s="7"/>
      <c r="AD12" s="7"/>
      <c r="AE12" s="7"/>
      <c r="AF12" s="7"/>
      <c r="AG12" s="7"/>
      <c r="AH12" s="7"/>
      <c r="AI12" s="7"/>
      <c r="AJ12" s="7"/>
      <c r="AK12" s="7"/>
      <c r="AL12" s="7"/>
      <c r="AM12" s="7"/>
      <c r="AN12" s="7"/>
      <c r="AO12" s="7"/>
      <c r="AP12" s="7"/>
      <c r="AQ12" s="7"/>
      <c r="AR12" s="7"/>
      <c r="AS12" s="7"/>
      <c r="AT12" s="7"/>
      <c r="AU12" s="7"/>
      <c r="AV12" s="7"/>
      <c r="AW12" s="31"/>
    </row>
    <row r="13" spans="1:50" s="3" customFormat="1" ht="60" x14ac:dyDescent="0.2">
      <c r="A13" s="148">
        <v>3</v>
      </c>
      <c r="B13" s="129" t="s">
        <v>71</v>
      </c>
      <c r="C13" s="130" t="s">
        <v>458</v>
      </c>
      <c r="D13" s="129" t="s">
        <v>446</v>
      </c>
      <c r="E13" s="129" t="s">
        <v>447</v>
      </c>
      <c r="F13" s="129" t="s">
        <v>350</v>
      </c>
      <c r="G13" s="129" t="s">
        <v>279</v>
      </c>
      <c r="H13" s="130" t="s">
        <v>448</v>
      </c>
      <c r="I13" s="130" t="s">
        <v>459</v>
      </c>
      <c r="J13" s="130" t="s">
        <v>454</v>
      </c>
      <c r="K13" s="129" t="s">
        <v>455</v>
      </c>
      <c r="L13" s="129"/>
      <c r="M13" s="129" t="s">
        <v>456</v>
      </c>
      <c r="N13" s="129" t="s">
        <v>286</v>
      </c>
      <c r="O13" s="130" t="s">
        <v>409</v>
      </c>
      <c r="P13" s="130" t="s">
        <v>457</v>
      </c>
      <c r="Q13" s="130"/>
      <c r="R13" s="130" t="s">
        <v>955</v>
      </c>
      <c r="S13" s="189"/>
      <c r="T13" s="213"/>
      <c r="U13" s="189" t="s">
        <v>794</v>
      </c>
      <c r="V13" s="189"/>
      <c r="W13" s="214"/>
      <c r="X13" s="189"/>
      <c r="Y13" s="215"/>
      <c r="Z13" s="7"/>
      <c r="AA13" s="7"/>
      <c r="AB13" s="7"/>
      <c r="AC13" s="7"/>
      <c r="AD13" s="7"/>
      <c r="AE13" s="7"/>
      <c r="AF13" s="7"/>
      <c r="AG13" s="7"/>
      <c r="AH13" s="7"/>
      <c r="AI13" s="7"/>
      <c r="AJ13" s="7"/>
      <c r="AK13" s="7"/>
      <c r="AL13" s="7"/>
      <c r="AM13" s="7"/>
      <c r="AN13" s="7"/>
      <c r="AO13" s="7"/>
      <c r="AP13" s="7"/>
      <c r="AQ13" s="7"/>
      <c r="AR13" s="7"/>
      <c r="AS13" s="7"/>
      <c r="AT13" s="7"/>
      <c r="AU13" s="7"/>
      <c r="AV13" s="7"/>
      <c r="AW13" s="31"/>
    </row>
    <row r="14" spans="1:50" s="3" customFormat="1" ht="60" x14ac:dyDescent="0.2">
      <c r="A14" s="148">
        <v>4</v>
      </c>
      <c r="B14" s="129" t="s">
        <v>72</v>
      </c>
      <c r="C14" s="130" t="s">
        <v>460</v>
      </c>
      <c r="D14" s="129" t="s">
        <v>446</v>
      </c>
      <c r="E14" s="129" t="s">
        <v>447</v>
      </c>
      <c r="F14" s="129" t="s">
        <v>350</v>
      </c>
      <c r="G14" s="129" t="s">
        <v>279</v>
      </c>
      <c r="H14" s="130" t="s">
        <v>448</v>
      </c>
      <c r="I14" s="130" t="s">
        <v>461</v>
      </c>
      <c r="J14" s="130" t="s">
        <v>454</v>
      </c>
      <c r="K14" s="129" t="s">
        <v>455</v>
      </c>
      <c r="L14" s="129"/>
      <c r="M14" s="129" t="s">
        <v>456</v>
      </c>
      <c r="N14" s="129" t="s">
        <v>286</v>
      </c>
      <c r="O14" s="130" t="s">
        <v>409</v>
      </c>
      <c r="P14" s="130" t="s">
        <v>457</v>
      </c>
      <c r="Q14" s="130"/>
      <c r="R14" s="130" t="s">
        <v>955</v>
      </c>
      <c r="S14" s="189"/>
      <c r="T14" s="213"/>
      <c r="U14" s="189" t="s">
        <v>794</v>
      </c>
      <c r="V14" s="189"/>
      <c r="W14" s="214"/>
      <c r="X14" s="189"/>
      <c r="Y14" s="215"/>
      <c r="Z14" s="7"/>
      <c r="AA14" s="7"/>
      <c r="AB14" s="7"/>
      <c r="AC14" s="7"/>
      <c r="AD14" s="7"/>
      <c r="AE14" s="7"/>
      <c r="AF14" s="7"/>
      <c r="AG14" s="7"/>
      <c r="AH14" s="7"/>
      <c r="AI14" s="7"/>
      <c r="AJ14" s="7"/>
      <c r="AK14" s="7"/>
      <c r="AL14" s="7"/>
      <c r="AM14" s="7"/>
      <c r="AN14" s="7"/>
      <c r="AO14" s="7"/>
      <c r="AP14" s="7"/>
      <c r="AQ14" s="7"/>
      <c r="AR14" s="7"/>
      <c r="AS14" s="7"/>
      <c r="AT14" s="7"/>
      <c r="AU14" s="7"/>
      <c r="AV14" s="7"/>
      <c r="AW14" s="31"/>
    </row>
    <row r="15" spans="1:50" s="3" customFormat="1" ht="60" x14ac:dyDescent="0.2">
      <c r="A15" s="148">
        <v>5</v>
      </c>
      <c r="B15" s="129" t="s">
        <v>73</v>
      </c>
      <c r="C15" s="130" t="s">
        <v>462</v>
      </c>
      <c r="D15" s="129" t="s">
        <v>446</v>
      </c>
      <c r="E15" s="129" t="s">
        <v>447</v>
      </c>
      <c r="F15" s="129" t="s">
        <v>350</v>
      </c>
      <c r="G15" s="129" t="s">
        <v>279</v>
      </c>
      <c r="H15" s="130" t="s">
        <v>448</v>
      </c>
      <c r="I15" s="130" t="s">
        <v>463</v>
      </c>
      <c r="J15" s="130" t="s">
        <v>454</v>
      </c>
      <c r="K15" s="129" t="s">
        <v>455</v>
      </c>
      <c r="L15" s="129"/>
      <c r="M15" s="129" t="s">
        <v>456</v>
      </c>
      <c r="N15" s="129" t="s">
        <v>286</v>
      </c>
      <c r="O15" s="130" t="s">
        <v>409</v>
      </c>
      <c r="P15" s="130" t="s">
        <v>457</v>
      </c>
      <c r="Q15" s="130"/>
      <c r="R15" s="130" t="s">
        <v>955</v>
      </c>
      <c r="S15" s="189"/>
      <c r="T15" s="213"/>
      <c r="U15" s="189" t="s">
        <v>794</v>
      </c>
      <c r="V15" s="189"/>
      <c r="W15" s="214"/>
      <c r="X15" s="189"/>
      <c r="Y15" s="215"/>
      <c r="Z15" s="7"/>
      <c r="AA15" s="7"/>
      <c r="AB15" s="7"/>
      <c r="AC15" s="7"/>
      <c r="AD15" s="7"/>
      <c r="AE15" s="7"/>
      <c r="AF15" s="7"/>
      <c r="AG15" s="7"/>
      <c r="AH15" s="7"/>
      <c r="AI15" s="7"/>
      <c r="AJ15" s="7" t="s">
        <v>956</v>
      </c>
      <c r="AK15" s="7"/>
      <c r="AL15" s="7"/>
      <c r="AM15" s="7"/>
      <c r="AN15" s="7"/>
      <c r="AO15" s="7"/>
      <c r="AP15" s="7"/>
      <c r="AQ15" s="7"/>
      <c r="AR15" s="7"/>
      <c r="AS15" s="7"/>
      <c r="AT15" s="7"/>
      <c r="AU15" s="7"/>
      <c r="AV15" s="7"/>
      <c r="AW15" s="31"/>
    </row>
    <row r="16" spans="1:50" s="3" customFormat="1" ht="15.75" x14ac:dyDescent="0.2">
      <c r="A16" s="149"/>
      <c r="B16" s="54"/>
      <c r="C16" s="121"/>
      <c r="D16" s="54"/>
      <c r="E16" s="54"/>
      <c r="F16" s="54"/>
      <c r="G16" s="54"/>
      <c r="H16" s="121"/>
      <c r="I16" s="121"/>
      <c r="J16" s="121"/>
      <c r="K16" s="54"/>
      <c r="L16" s="54"/>
      <c r="M16" s="54"/>
      <c r="N16" s="54"/>
      <c r="O16" s="121"/>
      <c r="P16" s="121"/>
      <c r="Q16" s="121"/>
      <c r="R16" s="121"/>
      <c r="S16" s="227"/>
      <c r="T16" s="228"/>
      <c r="U16" s="227"/>
      <c r="V16" s="227"/>
      <c r="W16" s="229"/>
      <c r="X16" s="227"/>
      <c r="Y16" s="230"/>
      <c r="Z16" s="579"/>
      <c r="AA16" s="579"/>
      <c r="AB16" s="579"/>
      <c r="AC16" s="579"/>
      <c r="AD16" s="579"/>
      <c r="AE16" s="579"/>
      <c r="AF16" s="579"/>
      <c r="AG16" s="579"/>
      <c r="AH16" s="69"/>
      <c r="AI16" s="69"/>
      <c r="AJ16" s="69"/>
      <c r="AK16" s="69"/>
      <c r="AL16" s="69"/>
      <c r="AM16" s="69"/>
      <c r="AN16" s="69"/>
      <c r="AO16" s="69"/>
      <c r="AP16" s="69"/>
      <c r="AQ16" s="69"/>
      <c r="AR16" s="69"/>
      <c r="AS16" s="70"/>
      <c r="AT16" s="70"/>
      <c r="AU16" s="70"/>
      <c r="AV16" s="70"/>
      <c r="AW16" s="71"/>
    </row>
    <row r="17" spans="1:49" s="3" customFormat="1" ht="72" x14ac:dyDescent="0.2">
      <c r="A17" s="148">
        <v>6</v>
      </c>
      <c r="B17" s="137" t="s">
        <v>74</v>
      </c>
      <c r="C17" s="141" t="s">
        <v>464</v>
      </c>
      <c r="D17" s="137" t="s">
        <v>446</v>
      </c>
      <c r="E17" s="137" t="s">
        <v>465</v>
      </c>
      <c r="F17" s="137" t="s">
        <v>350</v>
      </c>
      <c r="G17" s="137" t="s">
        <v>279</v>
      </c>
      <c r="H17" s="141" t="s">
        <v>1001</v>
      </c>
      <c r="I17" s="141" t="s">
        <v>467</v>
      </c>
      <c r="J17" s="141" t="s">
        <v>350</v>
      </c>
      <c r="K17" s="137" t="s">
        <v>350</v>
      </c>
      <c r="L17" s="137"/>
      <c r="M17" s="137" t="s">
        <v>285</v>
      </c>
      <c r="N17" s="137" t="s">
        <v>286</v>
      </c>
      <c r="O17" s="141" t="s">
        <v>468</v>
      </c>
      <c r="P17" s="141" t="s">
        <v>350</v>
      </c>
      <c r="Q17" s="141"/>
      <c r="R17" s="141" t="s">
        <v>1003</v>
      </c>
      <c r="S17" s="190" t="s">
        <v>794</v>
      </c>
      <c r="T17" s="216" t="s">
        <v>794</v>
      </c>
      <c r="U17" s="190"/>
      <c r="V17" s="190"/>
      <c r="W17" s="217"/>
      <c r="X17" s="190"/>
      <c r="Y17" s="218"/>
      <c r="Z17" s="861">
        <v>2010</v>
      </c>
      <c r="AA17" s="860"/>
      <c r="AB17" s="859">
        <v>2011</v>
      </c>
      <c r="AC17" s="860"/>
      <c r="AD17" s="859">
        <v>2012</v>
      </c>
      <c r="AE17" s="860"/>
      <c r="AF17" s="859">
        <v>2013</v>
      </c>
      <c r="AG17" s="860"/>
      <c r="AH17" s="7"/>
      <c r="AI17" s="7"/>
      <c r="AJ17" s="7"/>
      <c r="AK17" s="7"/>
      <c r="AL17" s="7"/>
      <c r="AM17" s="7"/>
      <c r="AN17" s="7"/>
      <c r="AO17" s="7"/>
      <c r="AP17" s="7"/>
      <c r="AQ17" s="7"/>
      <c r="AR17" s="7"/>
      <c r="AS17" s="7"/>
      <c r="AT17" s="7"/>
      <c r="AU17" s="7"/>
      <c r="AV17" s="7"/>
      <c r="AW17" s="31"/>
    </row>
    <row r="18" spans="1:49" s="3" customFormat="1" ht="15.75" x14ac:dyDescent="0.2">
      <c r="A18" s="148"/>
      <c r="B18" s="137"/>
      <c r="C18" s="141"/>
      <c r="D18" s="137"/>
      <c r="E18" s="137"/>
      <c r="F18" s="137"/>
      <c r="G18" s="137"/>
      <c r="H18" s="141"/>
      <c r="I18" s="141"/>
      <c r="J18" s="141"/>
      <c r="K18" s="137"/>
      <c r="L18" s="137"/>
      <c r="M18" s="137"/>
      <c r="N18" s="137"/>
      <c r="O18" s="141"/>
      <c r="P18" s="141"/>
      <c r="Q18" s="141"/>
      <c r="R18" s="141"/>
      <c r="S18" s="190"/>
      <c r="T18" s="216"/>
      <c r="U18" s="190"/>
      <c r="V18" s="190"/>
      <c r="W18" s="217"/>
      <c r="X18" s="190"/>
      <c r="Y18" s="218"/>
      <c r="Z18" s="657" t="s">
        <v>858</v>
      </c>
      <c r="AA18" s="581" t="s">
        <v>999</v>
      </c>
      <c r="AB18" s="580" t="s">
        <v>858</v>
      </c>
      <c r="AC18" s="581" t="s">
        <v>999</v>
      </c>
      <c r="AD18" s="580" t="s">
        <v>858</v>
      </c>
      <c r="AE18" s="581" t="s">
        <v>999</v>
      </c>
      <c r="AF18" s="580" t="s">
        <v>858</v>
      </c>
      <c r="AG18" s="581" t="s">
        <v>999</v>
      </c>
      <c r="AH18" s="7"/>
      <c r="AI18" s="7"/>
      <c r="AJ18" s="7"/>
      <c r="AK18" s="7"/>
      <c r="AL18" s="7"/>
      <c r="AM18" s="7"/>
      <c r="AN18" s="7"/>
      <c r="AO18" s="7"/>
      <c r="AP18" s="7"/>
      <c r="AQ18" s="7"/>
      <c r="AR18" s="7"/>
      <c r="AS18" s="7"/>
      <c r="AT18" s="7"/>
      <c r="AU18" s="7"/>
      <c r="AV18" s="7"/>
      <c r="AW18" s="31"/>
    </row>
    <row r="19" spans="1:49" s="3" customFormat="1" ht="15.75" x14ac:dyDescent="0.2">
      <c r="A19" s="148"/>
      <c r="B19" s="375" t="s">
        <v>246</v>
      </c>
      <c r="C19" s="141"/>
      <c r="D19" s="137"/>
      <c r="E19" s="137"/>
      <c r="F19" s="137"/>
      <c r="G19" s="137"/>
      <c r="H19" s="141"/>
      <c r="I19" s="141"/>
      <c r="J19" s="141"/>
      <c r="K19" s="137"/>
      <c r="L19" s="137"/>
      <c r="M19" s="137"/>
      <c r="N19" s="137"/>
      <c r="O19" s="141"/>
      <c r="P19" s="141"/>
      <c r="Q19" s="141"/>
      <c r="R19" s="141"/>
      <c r="S19" s="190"/>
      <c r="T19" s="216"/>
      <c r="U19" s="190"/>
      <c r="V19" s="190"/>
      <c r="W19" s="217"/>
      <c r="X19" s="190"/>
      <c r="Y19" s="218"/>
      <c r="Z19" s="273">
        <v>636734</v>
      </c>
      <c r="AA19" s="583">
        <v>596171</v>
      </c>
      <c r="AB19" s="273">
        <v>601060</v>
      </c>
      <c r="AC19" s="583">
        <v>556841</v>
      </c>
      <c r="AD19" s="273">
        <v>595312</v>
      </c>
      <c r="AE19" s="583">
        <v>545510</v>
      </c>
      <c r="AF19" s="273">
        <v>592026</v>
      </c>
      <c r="AG19" s="583">
        <v>541194</v>
      </c>
      <c r="AH19" s="7"/>
      <c r="AI19" s="7"/>
      <c r="AJ19" s="7"/>
      <c r="AK19" s="7"/>
      <c r="AL19" s="7"/>
      <c r="AM19" s="7"/>
      <c r="AN19" s="7"/>
      <c r="AO19" s="7"/>
      <c r="AP19" s="7"/>
      <c r="AQ19" s="7"/>
      <c r="AR19" s="7"/>
      <c r="AS19" s="7"/>
      <c r="AT19" s="7"/>
      <c r="AU19" s="7"/>
      <c r="AV19" s="7"/>
      <c r="AW19" s="31"/>
    </row>
    <row r="20" spans="1:49" s="3" customFormat="1" ht="15.75" x14ac:dyDescent="0.2">
      <c r="A20" s="148"/>
      <c r="B20" s="375" t="s">
        <v>242</v>
      </c>
      <c r="C20" s="141"/>
      <c r="D20" s="137"/>
      <c r="E20" s="137"/>
      <c r="F20" s="137"/>
      <c r="G20" s="137"/>
      <c r="H20" s="141"/>
      <c r="I20" s="141"/>
      <c r="J20" s="141"/>
      <c r="K20" s="137"/>
      <c r="L20" s="137"/>
      <c r="M20" s="137"/>
      <c r="N20" s="137"/>
      <c r="O20" s="141"/>
      <c r="P20" s="141"/>
      <c r="Q20" s="141"/>
      <c r="R20" s="141"/>
      <c r="S20" s="190"/>
      <c r="T20" s="216"/>
      <c r="U20" s="190"/>
      <c r="V20" s="190"/>
      <c r="W20" s="217"/>
      <c r="X20" s="190"/>
      <c r="Y20" s="218"/>
      <c r="Z20" s="273">
        <v>192735</v>
      </c>
      <c r="AA20" s="584">
        <v>182984</v>
      </c>
      <c r="AB20" s="273">
        <v>194195</v>
      </c>
      <c r="AC20" s="584">
        <v>182881</v>
      </c>
      <c r="AD20" s="273">
        <v>196862</v>
      </c>
      <c r="AE20" s="584">
        <v>185648</v>
      </c>
      <c r="AF20" s="273">
        <v>200055</v>
      </c>
      <c r="AG20" s="584">
        <v>188419</v>
      </c>
      <c r="AH20" s="7"/>
      <c r="AI20" s="7"/>
      <c r="AJ20" s="7"/>
      <c r="AK20" s="7"/>
      <c r="AL20" s="7"/>
      <c r="AM20" s="7"/>
      <c r="AN20" s="7"/>
      <c r="AO20" s="7"/>
      <c r="AP20" s="7"/>
      <c r="AQ20" s="7"/>
      <c r="AR20" s="7"/>
      <c r="AS20" s="7"/>
      <c r="AT20" s="7"/>
      <c r="AU20" s="7"/>
      <c r="AV20" s="7"/>
      <c r="AW20" s="31"/>
    </row>
    <row r="21" spans="1:49" s="3" customFormat="1" ht="15.75" x14ac:dyDescent="0.2">
      <c r="A21" s="148"/>
      <c r="B21" s="375" t="s">
        <v>239</v>
      </c>
      <c r="C21" s="141"/>
      <c r="D21" s="137"/>
      <c r="E21" s="137"/>
      <c r="F21" s="137"/>
      <c r="G21" s="137"/>
      <c r="H21" s="141"/>
      <c r="I21" s="141"/>
      <c r="J21" s="141"/>
      <c r="K21" s="137"/>
      <c r="L21" s="137"/>
      <c r="M21" s="137"/>
      <c r="N21" s="137"/>
      <c r="O21" s="141"/>
      <c r="P21" s="141"/>
      <c r="Q21" s="141"/>
      <c r="R21" s="141"/>
      <c r="S21" s="190"/>
      <c r="T21" s="216"/>
      <c r="U21" s="190"/>
      <c r="V21" s="190"/>
      <c r="W21" s="217"/>
      <c r="X21" s="190"/>
      <c r="Y21" s="218"/>
      <c r="Z21" s="273">
        <v>579643</v>
      </c>
      <c r="AA21" s="584">
        <v>566651</v>
      </c>
      <c r="AB21" s="273">
        <v>586336</v>
      </c>
      <c r="AC21" s="584">
        <v>575677</v>
      </c>
      <c r="AD21" s="273">
        <v>603442</v>
      </c>
      <c r="AE21" s="584">
        <v>589619</v>
      </c>
      <c r="AF21" s="273">
        <v>623591</v>
      </c>
      <c r="AG21" s="584">
        <v>608592</v>
      </c>
      <c r="AH21" s="7"/>
      <c r="AI21" s="7"/>
      <c r="AJ21" s="7"/>
      <c r="AK21" s="7"/>
      <c r="AL21" s="7"/>
      <c r="AM21" s="7"/>
      <c r="AN21" s="7"/>
      <c r="AO21" s="7"/>
      <c r="AP21" s="7"/>
      <c r="AQ21" s="7"/>
      <c r="AR21" s="7"/>
      <c r="AS21" s="7"/>
      <c r="AT21" s="7"/>
      <c r="AU21" s="7"/>
      <c r="AV21" s="7"/>
      <c r="AW21" s="31"/>
    </row>
    <row r="22" spans="1:49" s="3" customFormat="1" ht="15.75" x14ac:dyDescent="0.2">
      <c r="A22" s="148"/>
      <c r="B22" s="375" t="s">
        <v>848</v>
      </c>
      <c r="C22" s="141"/>
      <c r="D22" s="137"/>
      <c r="E22" s="137"/>
      <c r="F22" s="137"/>
      <c r="G22" s="137"/>
      <c r="H22" s="141"/>
      <c r="I22" s="141"/>
      <c r="J22" s="141"/>
      <c r="K22" s="137"/>
      <c r="L22" s="137"/>
      <c r="M22" s="137"/>
      <c r="N22" s="137"/>
      <c r="O22" s="141"/>
      <c r="P22" s="141"/>
      <c r="Q22" s="141"/>
      <c r="R22" s="141"/>
      <c r="S22" s="190"/>
      <c r="T22" s="216"/>
      <c r="U22" s="190"/>
      <c r="V22" s="190"/>
      <c r="W22" s="217"/>
      <c r="X22" s="190"/>
      <c r="Y22" s="218"/>
      <c r="Z22" s="273">
        <v>808650</v>
      </c>
      <c r="AA22" s="584">
        <v>755946</v>
      </c>
      <c r="AB22" s="273">
        <v>809656</v>
      </c>
      <c r="AC22" s="584">
        <v>757673</v>
      </c>
      <c r="AD22" s="273">
        <v>812084</v>
      </c>
      <c r="AE22" s="584">
        <v>759730</v>
      </c>
      <c r="AF22" s="273">
        <v>808763</v>
      </c>
      <c r="AG22" s="584">
        <v>753232</v>
      </c>
      <c r="AH22" s="7"/>
      <c r="AI22" s="7"/>
      <c r="AJ22" s="7"/>
      <c r="AK22" s="7"/>
      <c r="AL22" s="7"/>
      <c r="AM22" s="7"/>
      <c r="AN22" s="7"/>
      <c r="AO22" s="7"/>
      <c r="AP22" s="7"/>
      <c r="AQ22" s="7"/>
      <c r="AR22" s="7"/>
      <c r="AS22" s="7"/>
      <c r="AT22" s="7"/>
      <c r="AU22" s="7"/>
      <c r="AV22" s="7"/>
      <c r="AW22" s="31"/>
    </row>
    <row r="23" spans="1:49" s="3" customFormat="1" ht="15.75" x14ac:dyDescent="0.2">
      <c r="A23" s="148"/>
      <c r="B23" s="375" t="s">
        <v>244</v>
      </c>
      <c r="C23" s="141"/>
      <c r="D23" s="137"/>
      <c r="E23" s="137"/>
      <c r="F23" s="137"/>
      <c r="G23" s="137"/>
      <c r="H23" s="141"/>
      <c r="I23" s="141"/>
      <c r="J23" s="141"/>
      <c r="K23" s="137"/>
      <c r="L23" s="137"/>
      <c r="M23" s="137"/>
      <c r="N23" s="137"/>
      <c r="O23" s="141"/>
      <c r="P23" s="141"/>
      <c r="Q23" s="141"/>
      <c r="R23" s="141"/>
      <c r="S23" s="190"/>
      <c r="T23" s="216"/>
      <c r="U23" s="190"/>
      <c r="V23" s="190"/>
      <c r="W23" s="217"/>
      <c r="X23" s="190"/>
      <c r="Y23" s="218"/>
      <c r="Z23" s="273">
        <v>461290</v>
      </c>
      <c r="AA23" s="584">
        <v>429203</v>
      </c>
      <c r="AB23" s="273">
        <v>454300</v>
      </c>
      <c r="AC23" s="584">
        <v>420524</v>
      </c>
      <c r="AD23" s="273">
        <v>455106</v>
      </c>
      <c r="AE23" s="584">
        <v>424452</v>
      </c>
      <c r="AF23" s="273">
        <v>458624</v>
      </c>
      <c r="AG23" s="584">
        <v>427205</v>
      </c>
      <c r="AH23" s="7"/>
      <c r="AI23" s="7"/>
      <c r="AJ23" s="7"/>
      <c r="AK23" s="7"/>
      <c r="AL23" s="7"/>
      <c r="AM23" s="7"/>
      <c r="AN23" s="7"/>
      <c r="AO23" s="7"/>
      <c r="AP23" s="7"/>
      <c r="AQ23" s="7"/>
      <c r="AR23" s="7"/>
      <c r="AS23" s="7"/>
      <c r="AT23" s="7"/>
      <c r="AU23" s="7"/>
      <c r="AV23" s="7"/>
      <c r="AW23" s="31"/>
    </row>
    <row r="24" spans="1:49" s="3" customFormat="1" ht="15.75" x14ac:dyDescent="0.2">
      <c r="A24" s="148"/>
      <c r="B24" s="375" t="s">
        <v>245</v>
      </c>
      <c r="C24" s="141"/>
      <c r="D24" s="137"/>
      <c r="E24" s="137"/>
      <c r="F24" s="137"/>
      <c r="G24" s="137"/>
      <c r="H24" s="141"/>
      <c r="I24" s="141"/>
      <c r="J24" s="141"/>
      <c r="K24" s="137"/>
      <c r="L24" s="137"/>
      <c r="M24" s="137"/>
      <c r="N24" s="137"/>
      <c r="O24" s="141"/>
      <c r="P24" s="141"/>
      <c r="Q24" s="141"/>
      <c r="R24" s="141"/>
      <c r="S24" s="190"/>
      <c r="T24" s="216"/>
      <c r="U24" s="190"/>
      <c r="V24" s="190"/>
      <c r="W24" s="217"/>
      <c r="X24" s="190"/>
      <c r="Y24" s="218"/>
      <c r="Z24" s="273">
        <v>303758</v>
      </c>
      <c r="AA24" s="584">
        <v>284992</v>
      </c>
      <c r="AB24" s="273">
        <v>304505</v>
      </c>
      <c r="AC24" s="584">
        <v>283559</v>
      </c>
      <c r="AD24" s="273">
        <v>307885</v>
      </c>
      <c r="AE24" s="584">
        <v>283823</v>
      </c>
      <c r="AF24" s="273">
        <v>308546</v>
      </c>
      <c r="AG24" s="584">
        <v>286280</v>
      </c>
      <c r="AH24" s="7"/>
      <c r="AI24" s="7"/>
      <c r="AJ24" s="7"/>
      <c r="AK24" s="7"/>
      <c r="AL24" s="7"/>
      <c r="AM24" s="7"/>
      <c r="AN24" s="7"/>
      <c r="AO24" s="7"/>
      <c r="AP24" s="7"/>
      <c r="AQ24" s="7"/>
      <c r="AR24" s="7"/>
      <c r="AS24" s="7"/>
      <c r="AT24" s="7"/>
      <c r="AU24" s="7"/>
      <c r="AV24" s="7"/>
      <c r="AW24" s="31"/>
    </row>
    <row r="25" spans="1:49" s="3" customFormat="1" ht="15.75" x14ac:dyDescent="0.2">
      <c r="A25" s="148"/>
      <c r="B25" s="375" t="s">
        <v>250</v>
      </c>
      <c r="C25" s="141"/>
      <c r="D25" s="137"/>
      <c r="E25" s="137"/>
      <c r="F25" s="137"/>
      <c r="G25" s="137"/>
      <c r="H25" s="141"/>
      <c r="I25" s="141"/>
      <c r="J25" s="141"/>
      <c r="K25" s="137"/>
      <c r="L25" s="137"/>
      <c r="M25" s="137"/>
      <c r="N25" s="137"/>
      <c r="O25" s="141"/>
      <c r="P25" s="141"/>
      <c r="Q25" s="141"/>
      <c r="R25" s="141"/>
      <c r="S25" s="190"/>
      <c r="T25" s="216"/>
      <c r="U25" s="190"/>
      <c r="V25" s="190"/>
      <c r="W25" s="217"/>
      <c r="X25" s="190"/>
      <c r="Y25" s="218"/>
      <c r="Z25" s="273">
        <v>85191</v>
      </c>
      <c r="AA25" s="584">
        <v>80803</v>
      </c>
      <c r="AB25" s="273">
        <v>81159</v>
      </c>
      <c r="AC25" s="584">
        <v>85944</v>
      </c>
      <c r="AD25" s="273">
        <v>86852</v>
      </c>
      <c r="AE25" s="584">
        <v>81679</v>
      </c>
      <c r="AF25" s="273">
        <v>87879</v>
      </c>
      <c r="AG25" s="584">
        <v>82773</v>
      </c>
      <c r="AH25" s="7"/>
      <c r="AI25" s="7"/>
      <c r="AJ25" s="7"/>
      <c r="AK25" s="7"/>
      <c r="AL25" s="7"/>
      <c r="AM25" s="7"/>
      <c r="AN25" s="7"/>
      <c r="AO25" s="7"/>
      <c r="AP25" s="7"/>
      <c r="AQ25" s="7"/>
      <c r="AR25" s="7"/>
      <c r="AS25" s="7"/>
      <c r="AT25" s="7"/>
      <c r="AU25" s="7"/>
      <c r="AV25" s="7"/>
      <c r="AW25" s="31"/>
    </row>
    <row r="26" spans="1:49" s="3" customFormat="1" ht="15.75" x14ac:dyDescent="0.2">
      <c r="A26" s="148"/>
      <c r="B26" s="375" t="s">
        <v>243</v>
      </c>
      <c r="C26" s="141"/>
      <c r="D26" s="137"/>
      <c r="E26" s="137"/>
      <c r="F26" s="137"/>
      <c r="G26" s="137"/>
      <c r="H26" s="141"/>
      <c r="I26" s="141"/>
      <c r="J26" s="141"/>
      <c r="K26" s="137"/>
      <c r="L26" s="137"/>
      <c r="M26" s="137"/>
      <c r="N26" s="137"/>
      <c r="O26" s="141"/>
      <c r="P26" s="141"/>
      <c r="Q26" s="141"/>
      <c r="R26" s="141"/>
      <c r="S26" s="190"/>
      <c r="T26" s="216"/>
      <c r="U26" s="190"/>
      <c r="V26" s="190"/>
      <c r="W26" s="217"/>
      <c r="X26" s="190"/>
      <c r="Y26" s="218"/>
      <c r="Z26" s="273">
        <v>231951</v>
      </c>
      <c r="AA26" s="584">
        <v>219582</v>
      </c>
      <c r="AB26" s="273">
        <v>234584</v>
      </c>
      <c r="AC26" s="584">
        <v>221326</v>
      </c>
      <c r="AD26" s="273">
        <v>237333</v>
      </c>
      <c r="AE26" s="584">
        <v>224252</v>
      </c>
      <c r="AF26" s="273">
        <v>242276</v>
      </c>
      <c r="AG26" s="584">
        <v>228538</v>
      </c>
      <c r="AH26" s="7"/>
      <c r="AI26" s="7"/>
      <c r="AJ26" s="7"/>
      <c r="AK26" s="7"/>
      <c r="AL26" s="7"/>
      <c r="AM26" s="7"/>
      <c r="AN26" s="7"/>
      <c r="AO26" s="7"/>
      <c r="AP26" s="7"/>
      <c r="AQ26" s="7"/>
      <c r="AR26" s="7"/>
      <c r="AS26" s="7"/>
      <c r="AT26" s="7"/>
      <c r="AU26" s="7"/>
      <c r="AV26" s="7"/>
      <c r="AW26" s="31"/>
    </row>
    <row r="27" spans="1:49" s="3" customFormat="1" ht="15.75" x14ac:dyDescent="0.2">
      <c r="A27" s="148"/>
      <c r="B27" s="375" t="s">
        <v>240</v>
      </c>
      <c r="C27" s="141"/>
      <c r="D27" s="137"/>
      <c r="E27" s="137"/>
      <c r="F27" s="137"/>
      <c r="G27" s="137"/>
      <c r="H27" s="141"/>
      <c r="I27" s="141"/>
      <c r="J27" s="141"/>
      <c r="K27" s="137"/>
      <c r="L27" s="137"/>
      <c r="M27" s="137"/>
      <c r="N27" s="137"/>
      <c r="O27" s="141"/>
      <c r="P27" s="141"/>
      <c r="Q27" s="141"/>
      <c r="R27" s="141"/>
      <c r="S27" s="190"/>
      <c r="T27" s="216"/>
      <c r="U27" s="190"/>
      <c r="V27" s="190"/>
      <c r="W27" s="217"/>
      <c r="X27" s="190"/>
      <c r="Y27" s="218"/>
      <c r="Z27" s="273">
        <v>307828</v>
      </c>
      <c r="AA27" s="584">
        <v>300256</v>
      </c>
      <c r="AB27" s="273">
        <v>308283</v>
      </c>
      <c r="AC27" s="49">
        <v>298929</v>
      </c>
      <c r="AD27" s="273">
        <v>311950</v>
      </c>
      <c r="AE27" s="584">
        <v>302943</v>
      </c>
      <c r="AF27" s="273">
        <v>317451</v>
      </c>
      <c r="AG27" s="584">
        <v>308405</v>
      </c>
      <c r="AH27" s="7"/>
      <c r="AI27" s="7"/>
      <c r="AJ27" s="7"/>
      <c r="AK27" s="7"/>
      <c r="AL27" s="7"/>
      <c r="AM27" s="7"/>
      <c r="AN27" s="7"/>
      <c r="AO27" s="7"/>
      <c r="AP27" s="7"/>
      <c r="AQ27" s="7"/>
      <c r="AR27" s="7"/>
      <c r="AS27" s="7"/>
      <c r="AT27" s="7"/>
      <c r="AU27" s="7"/>
      <c r="AV27" s="7"/>
      <c r="AW27" s="31"/>
    </row>
    <row r="28" spans="1:49" s="3" customFormat="1" ht="15.75" x14ac:dyDescent="0.2">
      <c r="A28" s="148"/>
      <c r="B28" s="137"/>
      <c r="C28" s="141"/>
      <c r="D28" s="137"/>
      <c r="E28" s="137"/>
      <c r="F28" s="137"/>
      <c r="G28" s="137"/>
      <c r="H28" s="141"/>
      <c r="I28" s="141"/>
      <c r="J28" s="141"/>
      <c r="K28" s="137"/>
      <c r="L28" s="137"/>
      <c r="M28" s="137"/>
      <c r="N28" s="137"/>
      <c r="O28" s="141"/>
      <c r="P28" s="141"/>
      <c r="Q28" s="141"/>
      <c r="R28" s="141"/>
      <c r="S28" s="190"/>
      <c r="T28" s="216"/>
      <c r="U28" s="190"/>
      <c r="V28" s="190"/>
      <c r="W28" s="217"/>
      <c r="X28" s="190"/>
      <c r="Y28" s="218"/>
      <c r="Z28" s="273"/>
      <c r="AA28" s="273"/>
      <c r="AB28" s="273"/>
      <c r="AC28" s="273"/>
      <c r="AD28" s="273"/>
      <c r="AE28" s="273"/>
      <c r="AF28" s="273"/>
      <c r="AG28" s="273"/>
      <c r="AH28" s="7"/>
      <c r="AI28" s="7"/>
      <c r="AJ28" s="7"/>
      <c r="AK28" s="7"/>
      <c r="AL28" s="7"/>
      <c r="AM28" s="7"/>
      <c r="AN28" s="7"/>
      <c r="AO28" s="7"/>
      <c r="AP28" s="7"/>
      <c r="AQ28" s="7"/>
      <c r="AR28" s="7"/>
      <c r="AS28" s="7"/>
      <c r="AT28" s="7"/>
      <c r="AU28" s="7"/>
      <c r="AV28" s="7"/>
      <c r="AW28" s="31"/>
    </row>
    <row r="29" spans="1:49" s="3" customFormat="1" ht="72" x14ac:dyDescent="0.2">
      <c r="A29" s="148">
        <v>7</v>
      </c>
      <c r="B29" s="137" t="s">
        <v>75</v>
      </c>
      <c r="C29" s="141" t="s">
        <v>469</v>
      </c>
      <c r="D29" s="137" t="s">
        <v>446</v>
      </c>
      <c r="E29" s="137" t="s">
        <v>465</v>
      </c>
      <c r="F29" s="137" t="s">
        <v>350</v>
      </c>
      <c r="G29" s="137" t="s">
        <v>279</v>
      </c>
      <c r="H29" s="141" t="s">
        <v>1000</v>
      </c>
      <c r="I29" s="141" t="s">
        <v>467</v>
      </c>
      <c r="J29" s="141" t="s">
        <v>350</v>
      </c>
      <c r="K29" s="137" t="s">
        <v>350</v>
      </c>
      <c r="L29" s="137"/>
      <c r="M29" s="137" t="s">
        <v>285</v>
      </c>
      <c r="N29" s="137" t="s">
        <v>286</v>
      </c>
      <c r="O29" s="141" t="s">
        <v>468</v>
      </c>
      <c r="P29" s="141" t="s">
        <v>350</v>
      </c>
      <c r="Q29" s="141"/>
      <c r="R29" s="141" t="s">
        <v>1002</v>
      </c>
      <c r="S29" s="190" t="s">
        <v>794</v>
      </c>
      <c r="T29" s="216" t="s">
        <v>794</v>
      </c>
      <c r="U29" s="190"/>
      <c r="V29" s="190"/>
      <c r="W29" s="217"/>
      <c r="X29" s="190"/>
      <c r="Y29" s="218"/>
      <c r="Z29" s="859">
        <v>2010</v>
      </c>
      <c r="AA29" s="860"/>
      <c r="AB29" s="859">
        <v>2011</v>
      </c>
      <c r="AC29" s="860"/>
      <c r="AD29" s="859">
        <v>2012</v>
      </c>
      <c r="AE29" s="860"/>
      <c r="AF29" s="859">
        <v>2013</v>
      </c>
      <c r="AG29" s="860"/>
      <c r="AH29" s="7"/>
      <c r="AI29" s="7"/>
      <c r="AJ29" s="7"/>
      <c r="AK29" s="7"/>
      <c r="AL29" s="7"/>
      <c r="AM29" s="7"/>
      <c r="AN29" s="7"/>
      <c r="AO29" s="7"/>
      <c r="AP29" s="7"/>
      <c r="AQ29" s="7"/>
      <c r="AR29" s="7"/>
      <c r="AS29" s="7"/>
      <c r="AT29" s="7"/>
      <c r="AU29" s="7"/>
      <c r="AV29" s="7"/>
      <c r="AW29" s="31"/>
    </row>
    <row r="30" spans="1:49" s="3" customFormat="1" ht="15.75" x14ac:dyDescent="0.2">
      <c r="A30" s="148"/>
      <c r="B30" s="137"/>
      <c r="C30" s="141"/>
      <c r="D30" s="137"/>
      <c r="E30" s="137"/>
      <c r="F30" s="137"/>
      <c r="G30" s="137"/>
      <c r="H30" s="141"/>
      <c r="I30" s="141"/>
      <c r="J30" s="141"/>
      <c r="K30" s="137"/>
      <c r="L30" s="137"/>
      <c r="M30" s="137"/>
      <c r="N30" s="137"/>
      <c r="O30" s="141"/>
      <c r="P30" s="141"/>
      <c r="Q30" s="141"/>
      <c r="R30" s="141"/>
      <c r="S30" s="190"/>
      <c r="T30" s="216"/>
      <c r="U30" s="190"/>
      <c r="V30" s="190"/>
      <c r="W30" s="217"/>
      <c r="X30" s="190"/>
      <c r="Y30" s="218"/>
      <c r="Z30" s="580" t="s">
        <v>858</v>
      </c>
      <c r="AA30" s="581" t="s">
        <v>999</v>
      </c>
      <c r="AB30" s="580" t="s">
        <v>858</v>
      </c>
      <c r="AC30" s="581" t="s">
        <v>999</v>
      </c>
      <c r="AD30" s="580" t="s">
        <v>858</v>
      </c>
      <c r="AE30" s="581" t="s">
        <v>999</v>
      </c>
      <c r="AF30" s="580" t="s">
        <v>858</v>
      </c>
      <c r="AG30" s="581" t="s">
        <v>999</v>
      </c>
      <c r="AH30" s="7"/>
      <c r="AI30" s="7"/>
      <c r="AJ30" s="7"/>
      <c r="AK30" s="7"/>
      <c r="AL30" s="7"/>
      <c r="AM30" s="7"/>
      <c r="AN30" s="7"/>
      <c r="AO30" s="7"/>
      <c r="AP30" s="7"/>
      <c r="AQ30" s="7"/>
      <c r="AR30" s="7"/>
      <c r="AS30" s="7"/>
      <c r="AT30" s="7"/>
      <c r="AU30" s="7"/>
      <c r="AV30" s="7"/>
      <c r="AW30" s="31"/>
    </row>
    <row r="31" spans="1:49" s="3" customFormat="1" ht="15.75" x14ac:dyDescent="0.2">
      <c r="A31" s="148"/>
      <c r="B31" s="375" t="s">
        <v>246</v>
      </c>
      <c r="C31" s="141"/>
      <c r="D31" s="137"/>
      <c r="E31" s="137"/>
      <c r="F31" s="137"/>
      <c r="G31" s="137"/>
      <c r="H31" s="141"/>
      <c r="I31" s="141"/>
      <c r="J31" s="141"/>
      <c r="K31" s="137"/>
      <c r="L31" s="137"/>
      <c r="M31" s="137"/>
      <c r="N31" s="137"/>
      <c r="O31" s="141"/>
      <c r="P31" s="141"/>
      <c r="Q31" s="141"/>
      <c r="R31" s="141"/>
      <c r="S31" s="190"/>
      <c r="T31" s="216"/>
      <c r="U31" s="190"/>
      <c r="V31" s="190"/>
      <c r="W31" s="217"/>
      <c r="X31" s="190"/>
      <c r="Y31" s="218"/>
      <c r="Z31" s="273">
        <v>300361</v>
      </c>
      <c r="AA31" s="583">
        <v>338430</v>
      </c>
      <c r="AB31" s="273">
        <v>298521</v>
      </c>
      <c r="AC31" s="273">
        <v>335389</v>
      </c>
      <c r="AD31" s="273">
        <v>302528</v>
      </c>
      <c r="AE31" s="583">
        <v>335991</v>
      </c>
      <c r="AF31" s="273">
        <v>306121</v>
      </c>
      <c r="AG31" s="584">
        <v>334699</v>
      </c>
      <c r="AH31" s="7"/>
      <c r="AI31" s="7"/>
      <c r="AJ31" s="7"/>
      <c r="AK31" s="7"/>
      <c r="AL31" s="7"/>
      <c r="AM31" s="7"/>
      <c r="AN31" s="7"/>
      <c r="AO31" s="7"/>
      <c r="AP31" s="7"/>
      <c r="AQ31" s="7"/>
      <c r="AR31" s="7"/>
      <c r="AS31" s="7"/>
      <c r="AT31" s="7"/>
      <c r="AU31" s="7"/>
      <c r="AV31" s="7"/>
      <c r="AW31" s="31"/>
    </row>
    <row r="32" spans="1:49" s="3" customFormat="1" ht="15.75" x14ac:dyDescent="0.2">
      <c r="A32" s="148"/>
      <c r="B32" s="375" t="s">
        <v>242</v>
      </c>
      <c r="C32" s="141"/>
      <c r="D32" s="137"/>
      <c r="E32" s="137"/>
      <c r="F32" s="137"/>
      <c r="G32" s="137"/>
      <c r="H32" s="141"/>
      <c r="I32" s="141"/>
      <c r="J32" s="141"/>
      <c r="K32" s="137"/>
      <c r="L32" s="137"/>
      <c r="M32" s="137"/>
      <c r="N32" s="137"/>
      <c r="O32" s="141"/>
      <c r="P32" s="141"/>
      <c r="Q32" s="141"/>
      <c r="R32" s="141"/>
      <c r="S32" s="190"/>
      <c r="T32" s="216"/>
      <c r="U32" s="190"/>
      <c r="V32" s="190"/>
      <c r="W32" s="217"/>
      <c r="X32" s="190"/>
      <c r="Y32" s="218"/>
      <c r="Z32" s="273">
        <v>124782</v>
      </c>
      <c r="AA32" s="584">
        <v>125996</v>
      </c>
      <c r="AB32" s="273">
        <v>124246</v>
      </c>
      <c r="AC32" s="273">
        <v>127008</v>
      </c>
      <c r="AD32" s="273">
        <v>121622</v>
      </c>
      <c r="AE32" s="584">
        <v>126182</v>
      </c>
      <c r="AF32" s="273">
        <v>118328</v>
      </c>
      <c r="AG32" s="584">
        <v>124204</v>
      </c>
      <c r="AH32" s="7"/>
      <c r="AI32" s="7"/>
      <c r="AJ32" s="7"/>
      <c r="AK32" s="7"/>
      <c r="AL32" s="7"/>
      <c r="AM32" s="7"/>
      <c r="AN32" s="7"/>
      <c r="AO32" s="7"/>
      <c r="AP32" s="7"/>
      <c r="AQ32" s="7"/>
      <c r="AR32" s="7"/>
      <c r="AS32" s="7"/>
      <c r="AT32" s="7"/>
      <c r="AU32" s="7"/>
      <c r="AV32" s="7"/>
      <c r="AW32" s="31"/>
    </row>
    <row r="33" spans="1:49" s="3" customFormat="1" ht="15.75" x14ac:dyDescent="0.2">
      <c r="A33" s="148"/>
      <c r="B33" s="375" t="s">
        <v>239</v>
      </c>
      <c r="C33" s="141"/>
      <c r="D33" s="137"/>
      <c r="E33" s="137"/>
      <c r="F33" s="137"/>
      <c r="G33" s="137"/>
      <c r="H33" s="141"/>
      <c r="I33" s="141"/>
      <c r="J33" s="141"/>
      <c r="K33" s="137"/>
      <c r="L33" s="137"/>
      <c r="M33" s="137"/>
      <c r="N33" s="137"/>
      <c r="O33" s="141"/>
      <c r="P33" s="141"/>
      <c r="Q33" s="141"/>
      <c r="R33" s="141"/>
      <c r="S33" s="190"/>
      <c r="T33" s="216"/>
      <c r="U33" s="190"/>
      <c r="V33" s="190"/>
      <c r="W33" s="217"/>
      <c r="X33" s="190"/>
      <c r="Y33" s="218"/>
      <c r="Z33" s="273">
        <v>360867</v>
      </c>
      <c r="AA33" s="584">
        <v>378656</v>
      </c>
      <c r="AB33" s="278">
        <v>370953</v>
      </c>
      <c r="AC33" s="273">
        <v>386136</v>
      </c>
      <c r="AD33" s="273">
        <v>373726</v>
      </c>
      <c r="AE33" s="584">
        <v>395563</v>
      </c>
      <c r="AF33" s="273">
        <v>375950</v>
      </c>
      <c r="AG33" s="584">
        <v>398472</v>
      </c>
      <c r="AH33" s="7"/>
      <c r="AI33" s="7"/>
      <c r="AJ33" s="7"/>
      <c r="AK33" s="7"/>
      <c r="AL33" s="7"/>
      <c r="AM33" s="7"/>
      <c r="AN33" s="7"/>
      <c r="AO33" s="7"/>
      <c r="AP33" s="7"/>
      <c r="AQ33" s="7"/>
      <c r="AR33" s="7"/>
      <c r="AS33" s="7"/>
      <c r="AT33" s="7"/>
      <c r="AU33" s="7"/>
      <c r="AV33" s="7"/>
      <c r="AW33" s="31"/>
    </row>
    <row r="34" spans="1:49" s="3" customFormat="1" ht="15.75" x14ac:dyDescent="0.2">
      <c r="A34" s="148"/>
      <c r="B34" s="375" t="s">
        <v>848</v>
      </c>
      <c r="C34" s="141"/>
      <c r="D34" s="137"/>
      <c r="E34" s="137"/>
      <c r="F34" s="137"/>
      <c r="G34" s="137"/>
      <c r="H34" s="141"/>
      <c r="I34" s="141"/>
      <c r="J34" s="141"/>
      <c r="K34" s="137"/>
      <c r="L34" s="137"/>
      <c r="M34" s="137"/>
      <c r="N34" s="137"/>
      <c r="O34" s="141"/>
      <c r="P34" s="141"/>
      <c r="Q34" s="141"/>
      <c r="R34" s="141"/>
      <c r="S34" s="190"/>
      <c r="T34" s="216"/>
      <c r="U34" s="190"/>
      <c r="V34" s="190"/>
      <c r="W34" s="217"/>
      <c r="X34" s="190"/>
      <c r="Y34" s="218"/>
      <c r="Z34" s="273">
        <v>514987</v>
      </c>
      <c r="AA34" s="584">
        <v>538215</v>
      </c>
      <c r="AB34" s="273">
        <v>534106</v>
      </c>
      <c r="AC34" s="273">
        <v>551074</v>
      </c>
      <c r="AD34" s="273">
        <v>541332</v>
      </c>
      <c r="AE34" s="584">
        <v>562598</v>
      </c>
      <c r="AF34" s="273">
        <v>544286</v>
      </c>
      <c r="AG34" s="584">
        <v>563014</v>
      </c>
      <c r="AH34" s="7"/>
      <c r="AI34" s="7"/>
      <c r="AJ34" s="7"/>
      <c r="AK34" s="7"/>
      <c r="AL34" s="7"/>
      <c r="AM34" s="7"/>
      <c r="AN34" s="7"/>
      <c r="AO34" s="7"/>
      <c r="AP34" s="7"/>
      <c r="AQ34" s="7"/>
      <c r="AR34" s="7"/>
      <c r="AS34" s="7"/>
      <c r="AT34" s="7"/>
      <c r="AU34" s="7"/>
      <c r="AV34" s="7"/>
      <c r="AW34" s="31"/>
    </row>
    <row r="35" spans="1:49" s="3" customFormat="1" ht="15.75" x14ac:dyDescent="0.2">
      <c r="A35" s="148"/>
      <c r="B35" s="375" t="s">
        <v>244</v>
      </c>
      <c r="C35" s="141"/>
      <c r="D35" s="137"/>
      <c r="E35" s="137"/>
      <c r="F35" s="137"/>
      <c r="G35" s="137"/>
      <c r="H35" s="141"/>
      <c r="I35" s="141"/>
      <c r="J35" s="141"/>
      <c r="K35" s="137"/>
      <c r="L35" s="137"/>
      <c r="M35" s="137"/>
      <c r="N35" s="137"/>
      <c r="O35" s="141"/>
      <c r="P35" s="141"/>
      <c r="Q35" s="141"/>
      <c r="R35" s="141"/>
      <c r="S35" s="190"/>
      <c r="T35" s="216"/>
      <c r="U35" s="190"/>
      <c r="V35" s="190"/>
      <c r="W35" s="217"/>
      <c r="X35" s="190"/>
      <c r="Y35" s="218"/>
      <c r="Z35" s="273">
        <v>345063</v>
      </c>
      <c r="AA35" s="584">
        <v>354422</v>
      </c>
      <c r="AB35" s="273">
        <v>346590</v>
      </c>
      <c r="AC35" s="273">
        <v>353685</v>
      </c>
      <c r="AD35" s="273">
        <v>354655</v>
      </c>
      <c r="AE35" s="584">
        <v>362298</v>
      </c>
      <c r="AF35" s="273">
        <v>350358</v>
      </c>
      <c r="AG35" s="584">
        <v>357353</v>
      </c>
      <c r="AH35" s="7"/>
      <c r="AI35" s="7"/>
      <c r="AJ35" s="7"/>
      <c r="AK35" s="7"/>
      <c r="AL35" s="7"/>
      <c r="AM35" s="7"/>
      <c r="AN35" s="7"/>
      <c r="AO35" s="7"/>
      <c r="AP35" s="7"/>
      <c r="AQ35" s="7"/>
      <c r="AR35" s="7"/>
      <c r="AS35" s="7"/>
      <c r="AT35" s="7"/>
      <c r="AU35" s="7"/>
      <c r="AV35" s="7"/>
      <c r="AW35" s="31"/>
    </row>
    <row r="36" spans="1:49" s="3" customFormat="1" ht="15.75" x14ac:dyDescent="0.2">
      <c r="A36" s="148"/>
      <c r="B36" s="375" t="s">
        <v>245</v>
      </c>
      <c r="C36" s="141"/>
      <c r="D36" s="137"/>
      <c r="E36" s="137"/>
      <c r="F36" s="137"/>
      <c r="G36" s="137"/>
      <c r="H36" s="141"/>
      <c r="I36" s="141"/>
      <c r="J36" s="141"/>
      <c r="K36" s="137"/>
      <c r="L36" s="137"/>
      <c r="M36" s="137"/>
      <c r="N36" s="137"/>
      <c r="O36" s="141"/>
      <c r="P36" s="141"/>
      <c r="Q36" s="141"/>
      <c r="R36" s="141"/>
      <c r="S36" s="190"/>
      <c r="T36" s="216"/>
      <c r="U36" s="190"/>
      <c r="V36" s="190"/>
      <c r="W36" s="217"/>
      <c r="X36" s="190"/>
      <c r="Y36" s="218"/>
      <c r="Z36" s="273">
        <v>191171</v>
      </c>
      <c r="AA36" s="584">
        <v>200589</v>
      </c>
      <c r="AB36" s="355">
        <v>194163</v>
      </c>
      <c r="AC36" s="273">
        <v>203449</v>
      </c>
      <c r="AD36" s="273">
        <v>193881</v>
      </c>
      <c r="AE36" s="584">
        <v>205622</v>
      </c>
      <c r="AF36" s="273">
        <v>192216</v>
      </c>
      <c r="AG36" s="584">
        <v>204548</v>
      </c>
      <c r="AH36" s="7"/>
      <c r="AI36" s="7"/>
      <c r="AJ36" s="7"/>
      <c r="AK36" s="7"/>
      <c r="AL36" s="7"/>
      <c r="AM36" s="7"/>
      <c r="AN36" s="7"/>
      <c r="AO36" s="7"/>
      <c r="AP36" s="7"/>
      <c r="AQ36" s="7"/>
      <c r="AR36" s="7"/>
      <c r="AS36" s="7"/>
      <c r="AT36" s="7"/>
      <c r="AU36" s="7"/>
      <c r="AV36" s="7"/>
      <c r="AW36" s="31"/>
    </row>
    <row r="37" spans="1:49" s="3" customFormat="1" ht="15.75" x14ac:dyDescent="0.2">
      <c r="A37" s="148"/>
      <c r="B37" s="375" t="s">
        <v>250</v>
      </c>
      <c r="C37" s="141"/>
      <c r="D37" s="137"/>
      <c r="E37" s="137"/>
      <c r="F37" s="137"/>
      <c r="G37" s="137"/>
      <c r="H37" s="141"/>
      <c r="I37" s="141"/>
      <c r="J37" s="141"/>
      <c r="K37" s="137"/>
      <c r="L37" s="137"/>
      <c r="M37" s="137"/>
      <c r="N37" s="137"/>
      <c r="O37" s="141"/>
      <c r="P37" s="141"/>
      <c r="Q37" s="141"/>
      <c r="R37" s="141"/>
      <c r="S37" s="190"/>
      <c r="T37" s="216"/>
      <c r="U37" s="190"/>
      <c r="V37" s="190"/>
      <c r="W37" s="217"/>
      <c r="X37" s="190"/>
      <c r="Y37" s="218"/>
      <c r="Z37" s="273">
        <v>44018</v>
      </c>
      <c r="AA37" s="584">
        <v>46023</v>
      </c>
      <c r="AB37" s="273">
        <v>45442</v>
      </c>
      <c r="AC37" s="273">
        <v>48057</v>
      </c>
      <c r="AD37" s="273">
        <v>44898</v>
      </c>
      <c r="AE37" s="584">
        <v>47946</v>
      </c>
      <c r="AF37" s="273">
        <v>45542</v>
      </c>
      <c r="AG37" s="584">
        <v>48467</v>
      </c>
      <c r="AH37" s="7"/>
      <c r="AI37" s="7"/>
      <c r="AJ37" s="7"/>
      <c r="AK37" s="7"/>
      <c r="AL37" s="7"/>
      <c r="AM37" s="7"/>
      <c r="AN37" s="7"/>
      <c r="AO37" s="7"/>
      <c r="AP37" s="7"/>
      <c r="AQ37" s="7"/>
      <c r="AR37" s="7"/>
      <c r="AS37" s="7"/>
      <c r="AT37" s="7"/>
      <c r="AU37" s="7"/>
      <c r="AV37" s="7"/>
      <c r="AW37" s="31"/>
    </row>
    <row r="38" spans="1:49" s="3" customFormat="1" ht="15.75" x14ac:dyDescent="0.2">
      <c r="A38" s="148"/>
      <c r="B38" s="375" t="s">
        <v>243</v>
      </c>
      <c r="C38" s="141"/>
      <c r="D38" s="137"/>
      <c r="E38" s="137"/>
      <c r="F38" s="137"/>
      <c r="G38" s="137"/>
      <c r="H38" s="141"/>
      <c r="I38" s="141"/>
      <c r="J38" s="141"/>
      <c r="K38" s="137"/>
      <c r="L38" s="137"/>
      <c r="M38" s="137"/>
      <c r="N38" s="137"/>
      <c r="O38" s="141"/>
      <c r="P38" s="141"/>
      <c r="Q38" s="141"/>
      <c r="R38" s="141"/>
      <c r="S38" s="190"/>
      <c r="T38" s="216"/>
      <c r="U38" s="190"/>
      <c r="V38" s="190"/>
      <c r="W38" s="217"/>
      <c r="X38" s="190"/>
      <c r="Y38" s="218"/>
      <c r="Z38" s="273">
        <v>129349</v>
      </c>
      <c r="AA38" s="584">
        <v>134150</v>
      </c>
      <c r="AB38" s="273">
        <v>129300</v>
      </c>
      <c r="AC38" s="273">
        <v>134760</v>
      </c>
      <c r="AD38" s="273">
        <v>131652</v>
      </c>
      <c r="AE38" s="584">
        <v>136647</v>
      </c>
      <c r="AF38" s="273">
        <v>131001</v>
      </c>
      <c r="AG38" s="584">
        <v>137791</v>
      </c>
      <c r="AH38" s="7"/>
      <c r="AI38" s="7"/>
      <c r="AJ38" s="7"/>
      <c r="AK38" s="7"/>
      <c r="AL38" s="7"/>
      <c r="AM38" s="7"/>
      <c r="AN38" s="7"/>
      <c r="AO38" s="7"/>
      <c r="AP38" s="7"/>
      <c r="AQ38" s="7"/>
      <c r="AR38" s="7"/>
      <c r="AS38" s="7"/>
      <c r="AT38" s="7"/>
      <c r="AU38" s="7"/>
      <c r="AV38" s="7"/>
      <c r="AW38" s="31"/>
    </row>
    <row r="39" spans="1:49" s="3" customFormat="1" ht="15.75" x14ac:dyDescent="0.2">
      <c r="A39" s="148"/>
      <c r="B39" s="375" t="s">
        <v>240</v>
      </c>
      <c r="C39" s="141"/>
      <c r="D39" s="137"/>
      <c r="E39" s="137"/>
      <c r="F39" s="137"/>
      <c r="G39" s="137"/>
      <c r="H39" s="141"/>
      <c r="I39" s="141"/>
      <c r="J39" s="141"/>
      <c r="K39" s="137"/>
      <c r="L39" s="137"/>
      <c r="M39" s="137"/>
      <c r="N39" s="137"/>
      <c r="O39" s="141"/>
      <c r="P39" s="141"/>
      <c r="Q39" s="141"/>
      <c r="R39" s="141"/>
      <c r="S39" s="190"/>
      <c r="T39" s="216"/>
      <c r="U39" s="190"/>
      <c r="V39" s="190"/>
      <c r="W39" s="217"/>
      <c r="X39" s="190"/>
      <c r="Y39" s="218"/>
      <c r="Z39" s="273">
        <v>160898</v>
      </c>
      <c r="AA39" s="584">
        <v>183491</v>
      </c>
      <c r="AB39" s="273">
        <v>163984</v>
      </c>
      <c r="AC39" s="273">
        <v>187576</v>
      </c>
      <c r="AD39" s="273">
        <v>167247</v>
      </c>
      <c r="AE39" s="584">
        <v>192897</v>
      </c>
      <c r="AF39" s="273">
        <v>167465</v>
      </c>
      <c r="AG39" s="584">
        <v>193682</v>
      </c>
      <c r="AH39" s="7"/>
      <c r="AI39" s="7"/>
      <c r="AJ39" s="7"/>
      <c r="AK39" s="7"/>
      <c r="AL39" s="7"/>
      <c r="AM39" s="7"/>
      <c r="AN39" s="7"/>
      <c r="AO39" s="7"/>
      <c r="AP39" s="7"/>
      <c r="AQ39" s="7"/>
      <c r="AR39" s="7"/>
      <c r="AS39" s="7"/>
      <c r="AT39" s="7"/>
      <c r="AU39" s="7"/>
      <c r="AV39" s="7"/>
      <c r="AW39" s="31"/>
    </row>
    <row r="40" spans="1:49" s="3" customFormat="1" ht="72" x14ac:dyDescent="0.2">
      <c r="A40" s="148">
        <v>8</v>
      </c>
      <c r="B40" s="137" t="s">
        <v>76</v>
      </c>
      <c r="C40" s="141" t="s">
        <v>470</v>
      </c>
      <c r="D40" s="137" t="s">
        <v>446</v>
      </c>
      <c r="E40" s="137" t="s">
        <v>465</v>
      </c>
      <c r="F40" s="137" t="s">
        <v>350</v>
      </c>
      <c r="G40" s="137" t="s">
        <v>306</v>
      </c>
      <c r="H40" s="141" t="s">
        <v>1001</v>
      </c>
      <c r="I40" s="141" t="s">
        <v>467</v>
      </c>
      <c r="J40" s="141" t="s">
        <v>350</v>
      </c>
      <c r="K40" s="137" t="s">
        <v>350</v>
      </c>
      <c r="L40" s="137"/>
      <c r="M40" s="137" t="s">
        <v>285</v>
      </c>
      <c r="N40" s="137" t="s">
        <v>286</v>
      </c>
      <c r="O40" s="141" t="s">
        <v>468</v>
      </c>
      <c r="P40" s="141" t="s">
        <v>350</v>
      </c>
      <c r="Q40" s="141"/>
      <c r="R40" s="141" t="s">
        <v>1018</v>
      </c>
      <c r="S40" s="190" t="s">
        <v>794</v>
      </c>
      <c r="T40" s="216" t="s">
        <v>794</v>
      </c>
      <c r="U40" s="190"/>
      <c r="V40" s="190"/>
      <c r="W40" s="217"/>
      <c r="X40" s="190"/>
      <c r="Y40" s="218"/>
      <c r="Z40" s="707">
        <v>2007</v>
      </c>
      <c r="AA40" s="708">
        <v>2008</v>
      </c>
      <c r="AB40" s="708">
        <v>2009</v>
      </c>
      <c r="AC40" s="708">
        <v>2010</v>
      </c>
      <c r="AD40" s="708">
        <v>2011</v>
      </c>
      <c r="AE40" s="708">
        <v>2012</v>
      </c>
      <c r="AF40" s="708">
        <v>2013</v>
      </c>
      <c r="AG40" s="274"/>
      <c r="AH40" s="7"/>
      <c r="AI40" s="7"/>
      <c r="AJ40" s="7"/>
      <c r="AK40" s="7"/>
      <c r="AL40" s="7"/>
      <c r="AM40" s="7"/>
      <c r="AN40" s="7"/>
      <c r="AO40" s="7"/>
      <c r="AP40" s="7"/>
      <c r="AQ40" s="7"/>
      <c r="AR40" s="7"/>
      <c r="AS40" s="7"/>
      <c r="AT40" s="7"/>
      <c r="AU40" s="7"/>
      <c r="AV40" s="7"/>
      <c r="AW40" s="31"/>
    </row>
    <row r="41" spans="1:49" s="3" customFormat="1" ht="15.75" x14ac:dyDescent="0.2">
      <c r="A41" s="148"/>
      <c r="B41" s="375" t="s">
        <v>246</v>
      </c>
      <c r="C41" s="141"/>
      <c r="D41" s="137"/>
      <c r="E41" s="137"/>
      <c r="F41" s="137"/>
      <c r="G41" s="137"/>
      <c r="H41" s="141"/>
      <c r="I41" s="141"/>
      <c r="J41" s="141"/>
      <c r="K41" s="137"/>
      <c r="L41" s="137"/>
      <c r="M41" s="137"/>
      <c r="N41" s="137"/>
      <c r="O41" s="141"/>
      <c r="P41" s="141"/>
      <c r="Q41" s="141"/>
      <c r="R41" s="141"/>
      <c r="S41" s="190"/>
      <c r="T41" s="216"/>
      <c r="U41" s="190"/>
      <c r="V41" s="190"/>
      <c r="W41" s="217"/>
      <c r="X41" s="190"/>
      <c r="Y41" s="218"/>
      <c r="Z41" s="582">
        <v>32.299999999999997</v>
      </c>
      <c r="AA41" s="274">
        <v>31.3</v>
      </c>
      <c r="AB41" s="274">
        <v>29.8</v>
      </c>
      <c r="AC41" s="274">
        <v>29.7</v>
      </c>
      <c r="AD41" s="274">
        <v>28.7</v>
      </c>
      <c r="AE41" s="274">
        <v>28.7</v>
      </c>
      <c r="AF41" s="274">
        <v>29.4</v>
      </c>
      <c r="AG41" s="274"/>
      <c r="AH41" s="7"/>
      <c r="AI41" s="7"/>
      <c r="AJ41" s="7"/>
      <c r="AK41" s="7"/>
      <c r="AL41" s="7"/>
      <c r="AM41" s="7"/>
      <c r="AN41" s="7"/>
      <c r="AO41" s="7"/>
      <c r="AP41" s="7"/>
      <c r="AQ41" s="7"/>
      <c r="AR41" s="7"/>
      <c r="AS41" s="7"/>
      <c r="AT41" s="7"/>
      <c r="AU41" s="7"/>
      <c r="AV41" s="7"/>
      <c r="AW41" s="31"/>
    </row>
    <row r="42" spans="1:49" s="3" customFormat="1" ht="15.75" x14ac:dyDescent="0.2">
      <c r="A42" s="148"/>
      <c r="B42" s="375" t="s">
        <v>242</v>
      </c>
      <c r="C42" s="141"/>
      <c r="D42" s="137"/>
      <c r="E42" s="137"/>
      <c r="F42" s="137"/>
      <c r="G42" s="137"/>
      <c r="H42" s="141"/>
      <c r="I42" s="141"/>
      <c r="J42" s="141"/>
      <c r="K42" s="137"/>
      <c r="L42" s="137"/>
      <c r="M42" s="137"/>
      <c r="N42" s="137"/>
      <c r="O42" s="141"/>
      <c r="P42" s="141"/>
      <c r="Q42" s="141"/>
      <c r="R42" s="141"/>
      <c r="S42" s="190"/>
      <c r="T42" s="216"/>
      <c r="U42" s="190"/>
      <c r="V42" s="190"/>
      <c r="W42" s="217"/>
      <c r="X42" s="190"/>
      <c r="Y42" s="218"/>
      <c r="Z42" s="582">
        <v>28.9</v>
      </c>
      <c r="AA42" s="274">
        <v>28.7</v>
      </c>
      <c r="AB42" s="274">
        <v>27.5</v>
      </c>
      <c r="AC42" s="274">
        <v>27.5</v>
      </c>
      <c r="AD42" s="274">
        <v>27.4</v>
      </c>
      <c r="AE42" s="274">
        <v>26.7</v>
      </c>
      <c r="AF42" s="274">
        <v>27.2</v>
      </c>
      <c r="AG42" s="274"/>
      <c r="AH42" s="7"/>
      <c r="AI42" s="7"/>
      <c r="AJ42" s="7"/>
      <c r="AK42" s="7"/>
      <c r="AL42" s="7"/>
      <c r="AM42" s="7"/>
      <c r="AN42" s="7"/>
      <c r="AO42" s="7"/>
      <c r="AP42" s="7"/>
      <c r="AQ42" s="7"/>
      <c r="AR42" s="7"/>
      <c r="AS42" s="7"/>
      <c r="AT42" s="7"/>
      <c r="AU42" s="7"/>
      <c r="AV42" s="7"/>
      <c r="AW42" s="31"/>
    </row>
    <row r="43" spans="1:49" s="3" customFormat="1" ht="15.75" x14ac:dyDescent="0.2">
      <c r="A43" s="148"/>
      <c r="B43" s="375" t="s">
        <v>239</v>
      </c>
      <c r="C43" s="141"/>
      <c r="D43" s="137"/>
      <c r="E43" s="137"/>
      <c r="F43" s="137"/>
      <c r="G43" s="137"/>
      <c r="H43" s="141"/>
      <c r="I43" s="141"/>
      <c r="J43" s="141"/>
      <c r="K43" s="137"/>
      <c r="L43" s="137"/>
      <c r="M43" s="137"/>
      <c r="N43" s="137"/>
      <c r="O43" s="141"/>
      <c r="P43" s="141"/>
      <c r="Q43" s="141"/>
      <c r="R43" s="141"/>
      <c r="S43" s="190"/>
      <c r="T43" s="216"/>
      <c r="U43" s="190"/>
      <c r="V43" s="190"/>
      <c r="W43" s="217"/>
      <c r="X43" s="190"/>
      <c r="Y43" s="218"/>
      <c r="Z43" s="582">
        <v>29.8</v>
      </c>
      <c r="AA43" s="274">
        <v>29.5</v>
      </c>
      <c r="AB43" s="274">
        <v>28.7</v>
      </c>
      <c r="AC43" s="274">
        <v>28.1</v>
      </c>
      <c r="AD43" s="274">
        <v>28.3</v>
      </c>
      <c r="AE43" s="274">
        <v>28.1</v>
      </c>
      <c r="AF43" s="274">
        <v>28.5</v>
      </c>
      <c r="AG43" s="274"/>
      <c r="AH43" s="7"/>
      <c r="AI43" s="7"/>
      <c r="AJ43" s="7"/>
      <c r="AK43" s="7"/>
      <c r="AL43" s="7"/>
      <c r="AM43" s="7"/>
      <c r="AN43" s="7"/>
      <c r="AO43" s="7"/>
      <c r="AP43" s="7"/>
      <c r="AQ43" s="7"/>
      <c r="AR43" s="7"/>
      <c r="AS43" s="7"/>
      <c r="AT43" s="7"/>
      <c r="AU43" s="7"/>
      <c r="AV43" s="7"/>
      <c r="AW43" s="31"/>
    </row>
    <row r="44" spans="1:49" s="3" customFormat="1" ht="15.75" x14ac:dyDescent="0.2">
      <c r="A44" s="148"/>
      <c r="B44" s="375" t="s">
        <v>848</v>
      </c>
      <c r="C44" s="141"/>
      <c r="D44" s="137"/>
      <c r="E44" s="137"/>
      <c r="F44" s="137"/>
      <c r="G44" s="137"/>
      <c r="H44" s="141"/>
      <c r="I44" s="141"/>
      <c r="J44" s="141"/>
      <c r="K44" s="137"/>
      <c r="L44" s="137"/>
      <c r="M44" s="137"/>
      <c r="N44" s="137"/>
      <c r="O44" s="141"/>
      <c r="P44" s="141"/>
      <c r="Q44" s="141"/>
      <c r="R44" s="141"/>
      <c r="S44" s="190"/>
      <c r="T44" s="216"/>
      <c r="U44" s="190"/>
      <c r="V44" s="190"/>
      <c r="W44" s="217"/>
      <c r="X44" s="190"/>
      <c r="Y44" s="218"/>
      <c r="Z44" s="582">
        <v>32.4</v>
      </c>
      <c r="AA44" s="274">
        <v>31.9</v>
      </c>
      <c r="AB44" s="274">
        <v>31.6</v>
      </c>
      <c r="AC44" s="274">
        <v>30.5</v>
      </c>
      <c r="AD44" s="274">
        <v>30.5</v>
      </c>
      <c r="AE44" s="274">
        <v>30.3</v>
      </c>
      <c r="AF44" s="274">
        <v>29.8</v>
      </c>
      <c r="AG44" s="274"/>
      <c r="AH44" s="7"/>
      <c r="AI44" s="7"/>
      <c r="AJ44" s="7"/>
      <c r="AK44" s="7"/>
      <c r="AL44" s="7"/>
      <c r="AM44" s="7"/>
      <c r="AN44" s="7"/>
      <c r="AO44" s="7"/>
      <c r="AP44" s="7"/>
      <c r="AQ44" s="7"/>
      <c r="AR44" s="7"/>
      <c r="AS44" s="7"/>
      <c r="AT44" s="7"/>
      <c r="AU44" s="7"/>
      <c r="AV44" s="7"/>
      <c r="AW44" s="31"/>
    </row>
    <row r="45" spans="1:49" s="3" customFormat="1" ht="15.75" x14ac:dyDescent="0.2">
      <c r="A45" s="148"/>
      <c r="B45" s="375" t="s">
        <v>244</v>
      </c>
      <c r="C45" s="141"/>
      <c r="D45" s="137"/>
      <c r="E45" s="137"/>
      <c r="F45" s="137"/>
      <c r="G45" s="137"/>
      <c r="H45" s="141"/>
      <c r="I45" s="141"/>
      <c r="J45" s="141"/>
      <c r="K45" s="137"/>
      <c r="L45" s="137"/>
      <c r="M45" s="137"/>
      <c r="N45" s="137"/>
      <c r="O45" s="141"/>
      <c r="P45" s="141"/>
      <c r="Q45" s="141"/>
      <c r="R45" s="141"/>
      <c r="S45" s="190"/>
      <c r="T45" s="216"/>
      <c r="U45" s="190"/>
      <c r="V45" s="190"/>
      <c r="W45" s="217"/>
      <c r="X45" s="190"/>
      <c r="Y45" s="218"/>
      <c r="Z45" s="582">
        <v>33.200000000000003</v>
      </c>
      <c r="AA45" s="274">
        <v>30.9</v>
      </c>
      <c r="AB45" s="274">
        <v>29.2</v>
      </c>
      <c r="AC45" s="274">
        <v>29.3</v>
      </c>
      <c r="AD45" s="274">
        <v>29.2</v>
      </c>
      <c r="AE45" s="274">
        <v>29.8</v>
      </c>
      <c r="AF45" s="274">
        <v>30</v>
      </c>
      <c r="AG45" s="274"/>
      <c r="AH45" s="7"/>
      <c r="AI45" s="7"/>
      <c r="AJ45" s="7"/>
      <c r="AK45" s="7"/>
      <c r="AL45" s="7"/>
      <c r="AM45" s="7"/>
      <c r="AN45" s="7"/>
      <c r="AO45" s="7"/>
      <c r="AP45" s="7"/>
      <c r="AQ45" s="7"/>
      <c r="AR45" s="7"/>
      <c r="AS45" s="7"/>
      <c r="AT45" s="7"/>
      <c r="AU45" s="7"/>
      <c r="AV45" s="7"/>
      <c r="AW45" s="31"/>
    </row>
    <row r="46" spans="1:49" s="3" customFormat="1" ht="15.75" x14ac:dyDescent="0.2">
      <c r="A46" s="148"/>
      <c r="B46" s="375" t="s">
        <v>245</v>
      </c>
      <c r="C46" s="141"/>
      <c r="D46" s="137"/>
      <c r="E46" s="137"/>
      <c r="F46" s="137"/>
      <c r="G46" s="137"/>
      <c r="H46" s="141"/>
      <c r="I46" s="141"/>
      <c r="J46" s="141"/>
      <c r="K46" s="137"/>
      <c r="L46" s="137"/>
      <c r="M46" s="137"/>
      <c r="N46" s="137"/>
      <c r="O46" s="141"/>
      <c r="P46" s="141"/>
      <c r="Q46" s="141"/>
      <c r="R46" s="141"/>
      <c r="S46" s="190"/>
      <c r="T46" s="216"/>
      <c r="U46" s="190"/>
      <c r="V46" s="190"/>
      <c r="W46" s="217"/>
      <c r="X46" s="190"/>
      <c r="Y46" s="218"/>
      <c r="Z46" s="582">
        <v>32.700000000000003</v>
      </c>
      <c r="AA46" s="274">
        <v>31.3</v>
      </c>
      <c r="AB46" s="274">
        <v>29.4</v>
      </c>
      <c r="AC46" s="274">
        <v>30</v>
      </c>
      <c r="AD46" s="274">
        <v>30.2</v>
      </c>
      <c r="AE46" s="274">
        <v>30.4</v>
      </c>
      <c r="AF46" s="274">
        <v>30.1</v>
      </c>
      <c r="AG46" s="274"/>
      <c r="AH46" s="7"/>
      <c r="AI46" s="7"/>
      <c r="AJ46" s="7"/>
      <c r="AK46" s="7"/>
      <c r="AL46" s="7"/>
      <c r="AM46" s="7"/>
      <c r="AN46" s="7"/>
      <c r="AO46" s="7"/>
      <c r="AP46" s="7"/>
      <c r="AQ46" s="7"/>
      <c r="AR46" s="7"/>
      <c r="AS46" s="7"/>
      <c r="AT46" s="7"/>
      <c r="AU46" s="7"/>
      <c r="AV46" s="7"/>
      <c r="AW46" s="31"/>
    </row>
    <row r="47" spans="1:49" s="3" customFormat="1" ht="15.75" x14ac:dyDescent="0.2">
      <c r="A47" s="148"/>
      <c r="B47" s="375" t="s">
        <v>250</v>
      </c>
      <c r="C47" s="141"/>
      <c r="D47" s="137"/>
      <c r="E47" s="137"/>
      <c r="F47" s="137"/>
      <c r="G47" s="137"/>
      <c r="H47" s="141"/>
      <c r="I47" s="141"/>
      <c r="J47" s="141"/>
      <c r="K47" s="137"/>
      <c r="L47" s="137"/>
      <c r="M47" s="137"/>
      <c r="N47" s="137"/>
      <c r="O47" s="141"/>
      <c r="P47" s="141"/>
      <c r="Q47" s="141"/>
      <c r="R47" s="141"/>
      <c r="S47" s="190"/>
      <c r="T47" s="216"/>
      <c r="U47" s="190"/>
      <c r="V47" s="190"/>
      <c r="W47" s="217"/>
      <c r="X47" s="190"/>
      <c r="Y47" s="218"/>
      <c r="Z47" s="582">
        <v>31</v>
      </c>
      <c r="AA47" s="274">
        <v>29.5</v>
      </c>
      <c r="AB47" s="274">
        <v>29.4</v>
      </c>
      <c r="AC47" s="274">
        <v>30.5</v>
      </c>
      <c r="AD47" s="274">
        <v>30.9</v>
      </c>
      <c r="AE47" s="274">
        <v>31.3</v>
      </c>
      <c r="AF47" s="274">
        <v>31.5</v>
      </c>
      <c r="AG47" s="274"/>
      <c r="AH47" s="7"/>
      <c r="AI47" s="7"/>
      <c r="AJ47" s="7"/>
      <c r="AK47" s="7"/>
      <c r="AL47" s="7"/>
      <c r="AM47" s="7"/>
      <c r="AN47" s="7"/>
      <c r="AO47" s="7"/>
      <c r="AP47" s="7"/>
      <c r="AQ47" s="7"/>
      <c r="AR47" s="7"/>
      <c r="AS47" s="7"/>
      <c r="AT47" s="7"/>
      <c r="AU47" s="7"/>
      <c r="AV47" s="7"/>
      <c r="AW47" s="31"/>
    </row>
    <row r="48" spans="1:49" s="3" customFormat="1" ht="15.75" x14ac:dyDescent="0.2">
      <c r="A48" s="148"/>
      <c r="B48" s="375" t="s">
        <v>243</v>
      </c>
      <c r="C48" s="141"/>
      <c r="D48" s="137"/>
      <c r="E48" s="137"/>
      <c r="F48" s="137"/>
      <c r="G48" s="137"/>
      <c r="H48" s="141"/>
      <c r="I48" s="141"/>
      <c r="J48" s="141"/>
      <c r="K48" s="137"/>
      <c r="L48" s="137"/>
      <c r="M48" s="137"/>
      <c r="N48" s="137"/>
      <c r="O48" s="141"/>
      <c r="P48" s="141"/>
      <c r="Q48" s="141"/>
      <c r="R48" s="141"/>
      <c r="S48" s="190"/>
      <c r="T48" s="216"/>
      <c r="U48" s="190"/>
      <c r="V48" s="190"/>
      <c r="W48" s="217"/>
      <c r="X48" s="190"/>
      <c r="Y48" s="218"/>
      <c r="Z48" s="582">
        <v>29.1</v>
      </c>
      <c r="AA48" s="274">
        <v>29.3</v>
      </c>
      <c r="AB48" s="274">
        <v>29.1</v>
      </c>
      <c r="AC48" s="274">
        <v>29.2</v>
      </c>
      <c r="AD48" s="274">
        <v>29.5</v>
      </c>
      <c r="AE48" s="274">
        <v>29.9</v>
      </c>
      <c r="AF48" s="274">
        <v>30.1</v>
      </c>
      <c r="AG48" s="274"/>
      <c r="AH48" s="7"/>
      <c r="AI48" s="7"/>
      <c r="AJ48" s="7"/>
      <c r="AK48" s="7"/>
      <c r="AL48" s="7"/>
      <c r="AM48" s="7"/>
      <c r="AN48" s="7"/>
      <c r="AO48" s="7"/>
      <c r="AP48" s="7"/>
      <c r="AQ48" s="7"/>
      <c r="AR48" s="7"/>
      <c r="AS48" s="7"/>
      <c r="AT48" s="7"/>
      <c r="AU48" s="7"/>
      <c r="AV48" s="7"/>
      <c r="AW48" s="31"/>
    </row>
    <row r="49" spans="1:49" s="3" customFormat="1" ht="15.75" x14ac:dyDescent="0.2">
      <c r="A49" s="148"/>
      <c r="B49" s="375" t="s">
        <v>240</v>
      </c>
      <c r="C49" s="141"/>
      <c r="D49" s="137"/>
      <c r="E49" s="137"/>
      <c r="F49" s="137"/>
      <c r="G49" s="137"/>
      <c r="H49" s="141"/>
      <c r="I49" s="141"/>
      <c r="J49" s="141"/>
      <c r="K49" s="137"/>
      <c r="L49" s="137"/>
      <c r="M49" s="137"/>
      <c r="N49" s="137"/>
      <c r="O49" s="141"/>
      <c r="P49" s="141"/>
      <c r="Q49" s="141"/>
      <c r="R49" s="141"/>
      <c r="S49" s="190"/>
      <c r="T49" s="216"/>
      <c r="U49" s="190"/>
      <c r="V49" s="190"/>
      <c r="W49" s="217"/>
      <c r="X49" s="190"/>
      <c r="Y49" s="218"/>
      <c r="Z49" s="582">
        <v>30.3</v>
      </c>
      <c r="AA49" s="274">
        <v>28.8</v>
      </c>
      <c r="AB49" s="274">
        <v>28.5</v>
      </c>
      <c r="AC49" s="274">
        <v>28.3</v>
      </c>
      <c r="AD49" s="274">
        <v>28.3</v>
      </c>
      <c r="AE49" s="274">
        <v>28.5</v>
      </c>
      <c r="AF49" s="274">
        <v>28.9</v>
      </c>
      <c r="AG49" s="274"/>
      <c r="AH49" s="7"/>
      <c r="AI49" s="7"/>
      <c r="AJ49" s="7"/>
      <c r="AK49" s="7"/>
      <c r="AL49" s="7"/>
      <c r="AM49" s="7"/>
      <c r="AN49" s="7"/>
      <c r="AO49" s="7"/>
      <c r="AP49" s="7"/>
      <c r="AQ49" s="7"/>
      <c r="AR49" s="7"/>
      <c r="AS49" s="7"/>
      <c r="AT49" s="7"/>
      <c r="AU49" s="7"/>
      <c r="AV49" s="7"/>
      <c r="AW49" s="31"/>
    </row>
    <row r="50" spans="1:49" s="3" customFormat="1" ht="15.75" x14ac:dyDescent="0.2">
      <c r="A50" s="148"/>
      <c r="C50" s="141"/>
      <c r="D50" s="137"/>
      <c r="E50" s="137"/>
      <c r="F50" s="137"/>
      <c r="G50" s="137"/>
      <c r="H50" s="141"/>
      <c r="I50" s="141"/>
      <c r="J50" s="141"/>
      <c r="K50" s="137"/>
      <c r="L50" s="137"/>
      <c r="M50" s="137"/>
      <c r="N50" s="137"/>
      <c r="O50" s="141"/>
      <c r="P50" s="141"/>
      <c r="Q50" s="141"/>
      <c r="R50" s="141"/>
      <c r="S50" s="190"/>
      <c r="T50" s="216"/>
      <c r="U50" s="190"/>
      <c r="V50" s="190"/>
      <c r="W50" s="217"/>
      <c r="X50" s="190"/>
      <c r="Y50" s="218"/>
      <c r="Z50" s="582"/>
      <c r="AA50" s="274"/>
      <c r="AB50" s="274"/>
      <c r="AC50" s="274"/>
      <c r="AD50" s="274"/>
      <c r="AE50" s="274"/>
      <c r="AF50" s="274"/>
      <c r="AG50" s="274"/>
      <c r="AH50" s="7"/>
      <c r="AI50" s="7"/>
      <c r="AJ50" s="7"/>
      <c r="AK50" s="7"/>
      <c r="AL50" s="7"/>
      <c r="AM50" s="7"/>
      <c r="AN50" s="7"/>
      <c r="AO50" s="7"/>
      <c r="AP50" s="7"/>
      <c r="AQ50" s="7"/>
      <c r="AR50" s="7"/>
      <c r="AS50" s="7"/>
      <c r="AT50" s="7"/>
      <c r="AU50" s="7"/>
      <c r="AV50" s="7"/>
      <c r="AW50" s="31"/>
    </row>
    <row r="51" spans="1:49" s="398" customFormat="1" ht="72" x14ac:dyDescent="0.2">
      <c r="A51" s="407">
        <v>9</v>
      </c>
      <c r="B51" s="408" t="s">
        <v>77</v>
      </c>
      <c r="C51" s="409" t="s">
        <v>471</v>
      </c>
      <c r="D51" s="408" t="s">
        <v>446</v>
      </c>
      <c r="E51" s="408" t="s">
        <v>465</v>
      </c>
      <c r="F51" s="408" t="s">
        <v>350</v>
      </c>
      <c r="G51" s="408" t="s">
        <v>306</v>
      </c>
      <c r="H51" s="409" t="s">
        <v>466</v>
      </c>
      <c r="I51" s="409" t="s">
        <v>467</v>
      </c>
      <c r="J51" s="409" t="s">
        <v>350</v>
      </c>
      <c r="K51" s="408" t="s">
        <v>350</v>
      </c>
      <c r="L51" s="408"/>
      <c r="M51" s="408" t="s">
        <v>285</v>
      </c>
      <c r="N51" s="408" t="s">
        <v>286</v>
      </c>
      <c r="O51" s="409" t="s">
        <v>468</v>
      </c>
      <c r="P51" s="409" t="s">
        <v>350</v>
      </c>
      <c r="Q51" s="409"/>
      <c r="R51" s="409" t="s">
        <v>957</v>
      </c>
      <c r="S51" s="425" t="s">
        <v>794</v>
      </c>
      <c r="T51" s="426" t="s">
        <v>794</v>
      </c>
      <c r="U51" s="425"/>
      <c r="V51" s="425"/>
      <c r="W51" s="427"/>
      <c r="X51" s="425"/>
      <c r="Y51" s="428"/>
      <c r="Z51" s="586"/>
      <c r="AA51" s="586"/>
      <c r="AB51" s="586"/>
      <c r="AC51" s="586"/>
      <c r="AD51" s="586"/>
      <c r="AE51" s="586"/>
      <c r="AF51" s="586"/>
      <c r="AG51" s="586"/>
      <c r="AH51" s="399"/>
      <c r="AI51" s="399"/>
      <c r="AJ51" s="399"/>
      <c r="AK51" s="399"/>
      <c r="AL51" s="399"/>
      <c r="AM51" s="399"/>
      <c r="AN51" s="399"/>
      <c r="AO51" s="399"/>
      <c r="AP51" s="399"/>
      <c r="AQ51" s="399"/>
      <c r="AR51" s="399"/>
      <c r="AS51" s="399"/>
      <c r="AT51" s="399"/>
      <c r="AU51" s="399"/>
      <c r="AV51" s="399"/>
      <c r="AW51" s="400"/>
    </row>
    <row r="52" spans="1:49" s="3" customFormat="1" ht="24" x14ac:dyDescent="0.2">
      <c r="A52" s="149"/>
      <c r="B52" s="54"/>
      <c r="C52" s="121"/>
      <c r="D52" s="54"/>
      <c r="E52" s="54"/>
      <c r="F52" s="54"/>
      <c r="G52" s="54"/>
      <c r="H52" s="121"/>
      <c r="I52" s="121"/>
      <c r="J52" s="121"/>
      <c r="K52" s="54"/>
      <c r="L52" s="54"/>
      <c r="M52" s="54"/>
      <c r="N52" s="54"/>
      <c r="O52" s="121"/>
      <c r="P52" s="121"/>
      <c r="Q52" s="121"/>
      <c r="R52" s="121"/>
      <c r="S52" s="227"/>
      <c r="T52" s="228"/>
      <c r="U52" s="227"/>
      <c r="V52" s="227"/>
      <c r="W52" s="229"/>
      <c r="X52" s="227"/>
      <c r="Y52" s="230"/>
      <c r="Z52" s="578" t="s">
        <v>1005</v>
      </c>
      <c r="AA52" s="579" t="s">
        <v>4</v>
      </c>
      <c r="AB52" s="537" t="s">
        <v>5</v>
      </c>
      <c r="AC52" s="578" t="s">
        <v>1006</v>
      </c>
      <c r="AD52" s="537" t="s">
        <v>1007</v>
      </c>
      <c r="AE52" s="537" t="s">
        <v>1008</v>
      </c>
      <c r="AF52" s="537" t="s">
        <v>1009</v>
      </c>
      <c r="AG52" s="537" t="s">
        <v>1010</v>
      </c>
      <c r="AH52" s="587" t="s">
        <v>799</v>
      </c>
      <c r="AI52" s="69"/>
      <c r="AJ52" s="69"/>
      <c r="AK52" s="69"/>
      <c r="AL52" s="69"/>
      <c r="AM52" s="69"/>
      <c r="AN52" s="69"/>
      <c r="AO52" s="69"/>
      <c r="AP52" s="69"/>
      <c r="AQ52" s="69"/>
      <c r="AR52" s="69"/>
      <c r="AS52" s="70"/>
      <c r="AT52" s="70"/>
      <c r="AU52" s="70"/>
      <c r="AV52" s="70"/>
      <c r="AW52" s="71"/>
    </row>
    <row r="53" spans="1:49" s="3" customFormat="1" ht="60" x14ac:dyDescent="0.2">
      <c r="A53" s="148">
        <v>10</v>
      </c>
      <c r="B53" s="137" t="s">
        <v>78</v>
      </c>
      <c r="C53" s="141" t="s">
        <v>472</v>
      </c>
      <c r="D53" s="137" t="s">
        <v>446</v>
      </c>
      <c r="E53" s="137" t="s">
        <v>465</v>
      </c>
      <c r="F53" s="137" t="s">
        <v>350</v>
      </c>
      <c r="G53" s="137" t="s">
        <v>306</v>
      </c>
      <c r="H53" s="141" t="s">
        <v>473</v>
      </c>
      <c r="I53" s="141" t="s">
        <v>336</v>
      </c>
      <c r="J53" s="141" t="s">
        <v>374</v>
      </c>
      <c r="K53" s="137" t="s">
        <v>375</v>
      </c>
      <c r="L53" s="137"/>
      <c r="M53" s="137" t="s">
        <v>285</v>
      </c>
      <c r="N53" s="137" t="s">
        <v>286</v>
      </c>
      <c r="O53" s="141" t="s">
        <v>409</v>
      </c>
      <c r="P53" s="141" t="s">
        <v>350</v>
      </c>
      <c r="Q53" s="141"/>
      <c r="R53" s="141" t="s">
        <v>957</v>
      </c>
      <c r="S53" s="190" t="s">
        <v>794</v>
      </c>
      <c r="T53" s="216" t="s">
        <v>794</v>
      </c>
      <c r="U53" s="190"/>
      <c r="V53" s="190"/>
      <c r="W53" s="217"/>
      <c r="X53" s="190"/>
      <c r="Y53" s="218"/>
      <c r="Z53" s="658">
        <v>0.05</v>
      </c>
      <c r="AA53" s="590">
        <v>4.9000000000000002E-2</v>
      </c>
      <c r="AB53" s="588">
        <v>5.6000000000000001E-2</v>
      </c>
      <c r="AC53" s="590">
        <v>5.0999999999999997E-2</v>
      </c>
      <c r="AD53" s="590">
        <v>5.1999999999999998E-2</v>
      </c>
      <c r="AE53" s="590">
        <v>5.6000000000000001E-2</v>
      </c>
      <c r="AF53" s="590">
        <v>5.5E-2</v>
      </c>
      <c r="AG53" s="590">
        <v>5.3999999999999999E-2</v>
      </c>
      <c r="AH53" s="592">
        <v>5.3999999999999999E-2</v>
      </c>
      <c r="AI53" s="7"/>
      <c r="AJ53" s="7"/>
      <c r="AK53" s="7"/>
      <c r="AL53" s="7"/>
      <c r="AM53" s="7"/>
      <c r="AN53" s="7"/>
      <c r="AO53" s="7"/>
      <c r="AP53" s="7"/>
      <c r="AQ53" s="7"/>
      <c r="AR53" s="7"/>
      <c r="AS53" s="7"/>
      <c r="AT53" s="7"/>
      <c r="AU53" s="7"/>
      <c r="AV53" s="7"/>
      <c r="AW53" s="31"/>
    </row>
    <row r="54" spans="1:49" s="3" customFormat="1" ht="60" x14ac:dyDescent="0.2">
      <c r="A54" s="148">
        <v>11</v>
      </c>
      <c r="B54" s="137" t="s">
        <v>79</v>
      </c>
      <c r="C54" s="141" t="s">
        <v>474</v>
      </c>
      <c r="D54" s="137" t="s">
        <v>446</v>
      </c>
      <c r="E54" s="137" t="s">
        <v>465</v>
      </c>
      <c r="F54" s="137" t="s">
        <v>350</v>
      </c>
      <c r="G54" s="137" t="s">
        <v>306</v>
      </c>
      <c r="H54" s="141" t="s">
        <v>473</v>
      </c>
      <c r="I54" s="141" t="s">
        <v>336</v>
      </c>
      <c r="J54" s="141" t="s">
        <v>374</v>
      </c>
      <c r="K54" s="137" t="s">
        <v>375</v>
      </c>
      <c r="L54" s="137"/>
      <c r="M54" s="137" t="s">
        <v>285</v>
      </c>
      <c r="N54" s="137" t="s">
        <v>286</v>
      </c>
      <c r="O54" s="141" t="s">
        <v>409</v>
      </c>
      <c r="P54" s="141" t="s">
        <v>350</v>
      </c>
      <c r="Q54" s="141"/>
      <c r="R54" s="141" t="s">
        <v>957</v>
      </c>
      <c r="S54" s="190" t="s">
        <v>794</v>
      </c>
      <c r="T54" s="216" t="s">
        <v>794</v>
      </c>
      <c r="U54" s="190"/>
      <c r="V54" s="190"/>
      <c r="W54" s="217"/>
      <c r="X54" s="190"/>
      <c r="Y54" s="218"/>
      <c r="Z54" s="659">
        <v>0.20799999999999999</v>
      </c>
      <c r="AA54" s="589">
        <v>0.20200000000000001</v>
      </c>
      <c r="AB54" s="589">
        <v>0.156</v>
      </c>
      <c r="AC54" s="589">
        <v>0.214</v>
      </c>
      <c r="AD54" s="589">
        <v>0.19400000000000001</v>
      </c>
      <c r="AE54" s="591">
        <v>0.15</v>
      </c>
      <c r="AF54" s="589">
        <v>0.13600000000000001</v>
      </c>
      <c r="AG54" s="589">
        <v>0.16500000000000001</v>
      </c>
      <c r="AH54" s="593">
        <v>0.186</v>
      </c>
      <c r="AI54" s="7"/>
      <c r="AJ54" s="7"/>
      <c r="AK54" s="7"/>
      <c r="AL54" s="7"/>
      <c r="AM54" s="7"/>
      <c r="AN54" s="7"/>
      <c r="AO54" s="7"/>
      <c r="AP54" s="7"/>
      <c r="AQ54" s="7"/>
      <c r="AR54" s="7"/>
      <c r="AS54" s="7"/>
      <c r="AT54" s="7"/>
      <c r="AU54" s="7"/>
      <c r="AV54" s="7"/>
      <c r="AW54" s="31"/>
    </row>
    <row r="55" spans="1:49" s="3" customFormat="1" ht="72" x14ac:dyDescent="0.2">
      <c r="A55" s="148">
        <v>12</v>
      </c>
      <c r="B55" s="137" t="s">
        <v>80</v>
      </c>
      <c r="C55" s="141" t="s">
        <v>475</v>
      </c>
      <c r="D55" s="137" t="s">
        <v>446</v>
      </c>
      <c r="E55" s="137" t="s">
        <v>465</v>
      </c>
      <c r="F55" s="137" t="s">
        <v>350</v>
      </c>
      <c r="G55" s="137" t="s">
        <v>279</v>
      </c>
      <c r="H55" s="141" t="s">
        <v>473</v>
      </c>
      <c r="I55" s="141" t="s">
        <v>336</v>
      </c>
      <c r="J55" s="141" t="s">
        <v>374</v>
      </c>
      <c r="K55" s="137" t="s">
        <v>375</v>
      </c>
      <c r="L55" s="137"/>
      <c r="M55" s="137" t="s">
        <v>285</v>
      </c>
      <c r="N55" s="137" t="s">
        <v>286</v>
      </c>
      <c r="O55" s="141" t="s">
        <v>468</v>
      </c>
      <c r="P55" s="141" t="s">
        <v>350</v>
      </c>
      <c r="Q55" s="141"/>
      <c r="R55" s="141" t="s">
        <v>1004</v>
      </c>
      <c r="S55" s="190" t="s">
        <v>794</v>
      </c>
      <c r="T55" s="216" t="s">
        <v>794</v>
      </c>
      <c r="U55" s="190"/>
      <c r="V55" s="190"/>
      <c r="W55" s="217"/>
      <c r="X55" s="190"/>
      <c r="Y55" s="218"/>
      <c r="Z55" s="690">
        <v>1996</v>
      </c>
      <c r="AA55" s="691">
        <v>1997</v>
      </c>
      <c r="AB55" s="691">
        <v>1998</v>
      </c>
      <c r="AC55" s="691">
        <v>1999</v>
      </c>
      <c r="AD55" s="691">
        <v>2000</v>
      </c>
      <c r="AE55" s="691">
        <v>2001</v>
      </c>
      <c r="AF55" s="689">
        <v>2002</v>
      </c>
      <c r="AG55" s="689">
        <v>2003</v>
      </c>
      <c r="AH55" s="689">
        <v>2004</v>
      </c>
      <c r="AI55" s="689">
        <v>2005</v>
      </c>
      <c r="AJ55" s="689">
        <v>2006</v>
      </c>
      <c r="AK55" s="689">
        <v>2007</v>
      </c>
      <c r="AL55" s="689">
        <v>2008</v>
      </c>
      <c r="AM55" s="689">
        <v>2009</v>
      </c>
      <c r="AN55" s="689">
        <v>2010</v>
      </c>
      <c r="AO55" s="689">
        <v>2011</v>
      </c>
      <c r="AP55" s="689">
        <v>2012</v>
      </c>
      <c r="AQ55" s="689">
        <v>2013</v>
      </c>
      <c r="AR55" s="7"/>
      <c r="AS55" s="7"/>
      <c r="AT55" s="7"/>
      <c r="AU55" s="7"/>
      <c r="AV55" s="7"/>
      <c r="AW55" s="31"/>
    </row>
    <row r="56" spans="1:49" s="3" customFormat="1" ht="15.75" x14ac:dyDescent="0.2">
      <c r="A56" s="148"/>
      <c r="B56" s="269" t="s">
        <v>3</v>
      </c>
      <c r="C56" s="141"/>
      <c r="D56" s="137"/>
      <c r="E56" s="137"/>
      <c r="F56" s="137"/>
      <c r="G56" s="137"/>
      <c r="H56" s="141"/>
      <c r="I56" s="141"/>
      <c r="J56" s="141"/>
      <c r="K56" s="137"/>
      <c r="L56" s="137"/>
      <c r="M56" s="137"/>
      <c r="N56" s="137"/>
      <c r="O56" s="141"/>
      <c r="P56" s="141"/>
      <c r="Q56" s="141"/>
      <c r="R56" s="141"/>
      <c r="S56" s="190"/>
      <c r="T56" s="216"/>
      <c r="U56" s="190"/>
      <c r="V56" s="190"/>
      <c r="W56" s="217"/>
      <c r="X56" s="190"/>
      <c r="Y56" s="218"/>
      <c r="Z56" s="585" t="s">
        <v>1065</v>
      </c>
      <c r="AA56" s="585">
        <v>0.84291967622980701</v>
      </c>
      <c r="AB56" s="585">
        <v>0.8425292366501046</v>
      </c>
      <c r="AC56" s="585">
        <v>0.84293656910584069</v>
      </c>
      <c r="AD56" s="585">
        <v>0.84430673939573364</v>
      </c>
      <c r="AE56" s="585">
        <v>0.84625217262821884</v>
      </c>
      <c r="AF56" s="585">
        <v>0.85144800873507775</v>
      </c>
      <c r="AG56" s="585">
        <v>0.85835867083346773</v>
      </c>
      <c r="AH56" s="585">
        <v>0.86538738600558363</v>
      </c>
      <c r="AI56" s="585">
        <v>0.8730630446190174</v>
      </c>
      <c r="AJ56" s="585">
        <v>0.88167420076668512</v>
      </c>
      <c r="AK56" s="585">
        <v>0.88904528097196556</v>
      </c>
      <c r="AL56" s="585">
        <v>0.89617678647459997</v>
      </c>
      <c r="AM56" s="585">
        <v>0.90376214186750636</v>
      </c>
      <c r="AN56" s="585">
        <v>0.91087178200841856</v>
      </c>
      <c r="AO56" s="585">
        <v>0.91632720929817335</v>
      </c>
      <c r="AP56" s="585">
        <v>0.91884455600809944</v>
      </c>
      <c r="AQ56" s="585">
        <v>0.92043433370613126</v>
      </c>
      <c r="AR56" s="7"/>
      <c r="AS56" s="7"/>
      <c r="AT56" s="7"/>
      <c r="AU56" s="7"/>
      <c r="AV56" s="7"/>
      <c r="AW56" s="31"/>
    </row>
    <row r="57" spans="1:49" s="3" customFormat="1" ht="15.75" x14ac:dyDescent="0.2">
      <c r="A57" s="148"/>
      <c r="B57" s="269" t="s">
        <v>4</v>
      </c>
      <c r="C57" s="141"/>
      <c r="D57" s="137"/>
      <c r="E57" s="137"/>
      <c r="F57" s="137"/>
      <c r="G57" s="137"/>
      <c r="H57" s="141"/>
      <c r="I57" s="141"/>
      <c r="J57" s="141"/>
      <c r="K57" s="137"/>
      <c r="L57" s="137"/>
      <c r="M57" s="137"/>
      <c r="N57" s="137"/>
      <c r="O57" s="141"/>
      <c r="P57" s="141"/>
      <c r="Q57" s="141"/>
      <c r="R57" s="141"/>
      <c r="S57" s="190"/>
      <c r="T57" s="216"/>
      <c r="U57" s="190"/>
      <c r="V57" s="190"/>
      <c r="W57" s="217"/>
      <c r="X57" s="190"/>
      <c r="Y57" s="218"/>
      <c r="Z57" s="585">
        <v>0.83184646110892935</v>
      </c>
      <c r="AA57" s="585">
        <v>0.83038648390255498</v>
      </c>
      <c r="AB57" s="585">
        <v>0.82932845064176364</v>
      </c>
      <c r="AC57" s="585">
        <v>0.82922763655621601</v>
      </c>
      <c r="AD57" s="585">
        <v>0.83026846012105171</v>
      </c>
      <c r="AE57" s="585">
        <v>0.83191535232981328</v>
      </c>
      <c r="AF57" s="585">
        <v>0.83663784722163292</v>
      </c>
      <c r="AG57" s="585">
        <v>0.84321149377699156</v>
      </c>
      <c r="AH57" s="585">
        <v>0.85013581016822515</v>
      </c>
      <c r="AI57" s="585">
        <v>0.85804294483166044</v>
      </c>
      <c r="AJ57" s="585">
        <v>0.86714213049138822</v>
      </c>
      <c r="AK57" s="585">
        <v>0.87502523890069794</v>
      </c>
      <c r="AL57" s="585">
        <v>0.88261877288806245</v>
      </c>
      <c r="AM57" s="585">
        <v>0.89090661705832896</v>
      </c>
      <c r="AN57" s="585">
        <v>0.89871461055615975</v>
      </c>
      <c r="AO57" s="585">
        <v>0.90470542252966901</v>
      </c>
      <c r="AP57" s="585">
        <v>0.90756440007158889</v>
      </c>
      <c r="AQ57" s="585">
        <v>0.9069610464218808</v>
      </c>
      <c r="AR57" s="7"/>
      <c r="AS57" s="7"/>
      <c r="AT57" s="7"/>
      <c r="AU57" s="7"/>
      <c r="AV57" s="7"/>
      <c r="AW57" s="31"/>
    </row>
    <row r="58" spans="1:49" s="16" customFormat="1" ht="15.75" x14ac:dyDescent="0.2">
      <c r="A58" s="520"/>
      <c r="B58" s="470" t="s">
        <v>5</v>
      </c>
      <c r="C58" s="141"/>
      <c r="D58" s="137"/>
      <c r="E58" s="137"/>
      <c r="F58" s="137"/>
      <c r="G58" s="137"/>
      <c r="H58" s="141"/>
      <c r="I58" s="141"/>
      <c r="J58" s="141"/>
      <c r="K58" s="137"/>
      <c r="L58" s="137"/>
      <c r="M58" s="137"/>
      <c r="N58" s="137"/>
      <c r="O58" s="141"/>
      <c r="P58" s="141"/>
      <c r="Q58" s="141"/>
      <c r="R58" s="141"/>
      <c r="S58" s="190"/>
      <c r="T58" s="216"/>
      <c r="U58" s="190"/>
      <c r="V58" s="190"/>
      <c r="W58" s="217"/>
      <c r="X58" s="190"/>
      <c r="Y58" s="218"/>
      <c r="Z58" s="585">
        <v>0.8491031828200708</v>
      </c>
      <c r="AA58" s="585">
        <v>0.84905286108698841</v>
      </c>
      <c r="AB58" s="585">
        <v>0.84900443195159125</v>
      </c>
      <c r="AC58" s="585">
        <v>0.84940226487580106</v>
      </c>
      <c r="AD58" s="585">
        <v>0.8504171637249095</v>
      </c>
      <c r="AE58" s="585">
        <v>0.85202529430636353</v>
      </c>
      <c r="AF58" s="585">
        <v>0.85592338886034292</v>
      </c>
      <c r="AG58" s="585">
        <v>0.86147592408361184</v>
      </c>
      <c r="AH58" s="585">
        <v>0.86779352043781366</v>
      </c>
      <c r="AI58" s="585">
        <v>0.87564807694613067</v>
      </c>
      <c r="AJ58" s="585">
        <v>0.88504948108507697</v>
      </c>
      <c r="AK58" s="585">
        <v>0.89332782181537751</v>
      </c>
      <c r="AL58" s="585">
        <v>0.90129716711646912</v>
      </c>
      <c r="AM58" s="585">
        <v>0.90868626662607899</v>
      </c>
      <c r="AN58" s="585">
        <v>0.91471678090218489</v>
      </c>
      <c r="AO58" s="585">
        <v>0.91864614384162924</v>
      </c>
      <c r="AP58" s="585">
        <v>0.920312258940304</v>
      </c>
      <c r="AQ58" s="585">
        <v>0.92006033341242222</v>
      </c>
      <c r="AR58" s="4"/>
      <c r="AS58" s="4"/>
      <c r="AT58" s="4"/>
      <c r="AU58" s="4"/>
      <c r="AV58" s="4"/>
      <c r="AW58" s="477"/>
    </row>
    <row r="59" spans="1:49" s="3" customFormat="1" ht="15.75" x14ac:dyDescent="0.2">
      <c r="A59" s="148"/>
      <c r="B59" s="269" t="s">
        <v>251</v>
      </c>
      <c r="C59" s="141"/>
      <c r="D59" s="137"/>
      <c r="E59" s="137"/>
      <c r="F59" s="137"/>
      <c r="G59" s="137"/>
      <c r="H59" s="141"/>
      <c r="I59" s="141"/>
      <c r="J59" s="141"/>
      <c r="K59" s="137"/>
      <c r="L59" s="137"/>
      <c r="M59" s="137"/>
      <c r="N59" s="137"/>
      <c r="O59" s="141"/>
      <c r="P59" s="141"/>
      <c r="Q59" s="141"/>
      <c r="R59" s="141"/>
      <c r="S59" s="190"/>
      <c r="T59" s="216"/>
      <c r="U59" s="190"/>
      <c r="V59" s="190"/>
      <c r="W59" s="217"/>
      <c r="X59" s="190"/>
      <c r="Y59" s="218"/>
      <c r="Z59" s="585">
        <v>0.79026330626997265</v>
      </c>
      <c r="AA59" s="585">
        <v>0.7905602665639353</v>
      </c>
      <c r="AB59" s="585">
        <v>0.79099548853642587</v>
      </c>
      <c r="AC59" s="585">
        <v>0.79239100122983819</v>
      </c>
      <c r="AD59" s="585">
        <v>0.79457560675254235</v>
      </c>
      <c r="AE59" s="585">
        <v>0.79688553705784493</v>
      </c>
      <c r="AF59" s="585">
        <v>0.80319722358814882</v>
      </c>
      <c r="AG59" s="585">
        <v>0.81151695933539769</v>
      </c>
      <c r="AH59" s="585">
        <v>0.82049124889481573</v>
      </c>
      <c r="AI59" s="585">
        <v>0.83082596870113468</v>
      </c>
      <c r="AJ59" s="585">
        <v>0.84223660686928747</v>
      </c>
      <c r="AK59" s="585">
        <v>0.85129463501647584</v>
      </c>
      <c r="AL59" s="585">
        <v>0.85862695865420113</v>
      </c>
      <c r="AM59" s="585">
        <v>0.86566376740411533</v>
      </c>
      <c r="AN59" s="585">
        <v>0.8721177468309923</v>
      </c>
      <c r="AO59" s="585">
        <v>0.87703924098798758</v>
      </c>
      <c r="AP59" s="585">
        <v>0.8785527094480956</v>
      </c>
      <c r="AQ59" s="585">
        <v>0.87852330916196575</v>
      </c>
      <c r="AR59" s="7"/>
      <c r="AS59" s="7"/>
      <c r="AT59" s="7"/>
      <c r="AU59" s="7"/>
      <c r="AV59" s="7"/>
      <c r="AW59" s="31"/>
    </row>
    <row r="60" spans="1:49" s="3" customFormat="1" ht="15.75" x14ac:dyDescent="0.2">
      <c r="A60" s="148"/>
      <c r="B60" s="269" t="s">
        <v>252</v>
      </c>
      <c r="C60" s="141"/>
      <c r="D60" s="137"/>
      <c r="E60" s="137"/>
      <c r="F60" s="137"/>
      <c r="G60" s="137"/>
      <c r="H60" s="141"/>
      <c r="I60" s="141"/>
      <c r="J60" s="141"/>
      <c r="K60" s="137"/>
      <c r="L60" s="137"/>
      <c r="M60" s="137"/>
      <c r="N60" s="137"/>
      <c r="O60" s="141"/>
      <c r="P60" s="141"/>
      <c r="Q60" s="141"/>
      <c r="R60" s="141"/>
      <c r="S60" s="190"/>
      <c r="T60" s="216"/>
      <c r="U60" s="190"/>
      <c r="V60" s="190"/>
      <c r="W60" s="217"/>
      <c r="X60" s="190"/>
      <c r="Y60" s="218"/>
      <c r="Z60" s="585">
        <v>0.81518973896160773</v>
      </c>
      <c r="AA60" s="585">
        <v>0.81454808634759446</v>
      </c>
      <c r="AB60" s="585">
        <v>0.81411068398016684</v>
      </c>
      <c r="AC60" s="585">
        <v>0.81454367434007391</v>
      </c>
      <c r="AD60" s="585">
        <v>0.81604091017376656</v>
      </c>
      <c r="AE60" s="585">
        <v>0.81813504816394766</v>
      </c>
      <c r="AF60" s="585">
        <v>0.82435541642060972</v>
      </c>
      <c r="AG60" s="585">
        <v>0.83281400690038432</v>
      </c>
      <c r="AH60" s="585">
        <v>0.84144828095396151</v>
      </c>
      <c r="AI60" s="585">
        <v>0.85087931683845697</v>
      </c>
      <c r="AJ60" s="585">
        <v>0.86138267512655808</v>
      </c>
      <c r="AK60" s="585">
        <v>0.87051906308639448</v>
      </c>
      <c r="AL60" s="585">
        <v>0.8792187132041186</v>
      </c>
      <c r="AM60" s="585">
        <v>0.88845606592704929</v>
      </c>
      <c r="AN60" s="585">
        <v>0.89711610521308216</v>
      </c>
      <c r="AO60" s="585">
        <v>0.90382962499404751</v>
      </c>
      <c r="AP60" s="585">
        <v>0.90726219741728242</v>
      </c>
      <c r="AQ60" s="585">
        <v>0.90690795986922512</v>
      </c>
      <c r="AR60" s="7"/>
      <c r="AS60" s="7"/>
      <c r="AT60" s="7"/>
      <c r="AU60" s="7"/>
      <c r="AV60" s="7"/>
      <c r="AW60" s="31"/>
    </row>
    <row r="61" spans="1:49" s="3" customFormat="1" ht="15.75" x14ac:dyDescent="0.2">
      <c r="A61" s="148"/>
      <c r="B61" s="269" t="s">
        <v>6</v>
      </c>
      <c r="C61" s="141"/>
      <c r="D61" s="137"/>
      <c r="E61" s="137"/>
      <c r="F61" s="137"/>
      <c r="G61" s="137"/>
      <c r="H61" s="141"/>
      <c r="I61" s="141"/>
      <c r="J61" s="141"/>
      <c r="K61" s="137"/>
      <c r="L61" s="137"/>
      <c r="M61" s="137"/>
      <c r="N61" s="137"/>
      <c r="O61" s="141"/>
      <c r="P61" s="141"/>
      <c r="Q61" s="141"/>
      <c r="R61" s="141"/>
      <c r="S61" s="190"/>
      <c r="T61" s="216"/>
      <c r="U61" s="190"/>
      <c r="V61" s="190"/>
      <c r="W61" s="217"/>
      <c r="X61" s="190"/>
      <c r="Y61" s="218"/>
      <c r="Z61" s="585">
        <v>0.80536574329719102</v>
      </c>
      <c r="AA61" s="585">
        <v>0.8060562708170842</v>
      </c>
      <c r="AB61" s="585">
        <v>0.80678765628111426</v>
      </c>
      <c r="AC61" s="585">
        <v>0.80756569505970566</v>
      </c>
      <c r="AD61" s="585">
        <v>0.80873254317800292</v>
      </c>
      <c r="AE61" s="585">
        <v>0.81038111548417779</v>
      </c>
      <c r="AF61" s="585">
        <v>0.81460258649456396</v>
      </c>
      <c r="AG61" s="585">
        <v>0.82064633334522097</v>
      </c>
      <c r="AH61" s="585">
        <v>0.8284235296300636</v>
      </c>
      <c r="AI61" s="585">
        <v>0.83883759009411485</v>
      </c>
      <c r="AJ61" s="585">
        <v>0.8509418108454625</v>
      </c>
      <c r="AK61" s="585">
        <v>0.86191339827033309</v>
      </c>
      <c r="AL61" s="585">
        <v>0.87177725878052414</v>
      </c>
      <c r="AM61" s="585">
        <v>0.88015164162195048</v>
      </c>
      <c r="AN61" s="585">
        <v>0.8872250678115553</v>
      </c>
      <c r="AO61" s="585">
        <v>0.89259241940316714</v>
      </c>
      <c r="AP61" s="585">
        <v>0.89509726443414117</v>
      </c>
      <c r="AQ61" s="585">
        <v>0.89619927643087705</v>
      </c>
      <c r="AR61" s="7"/>
      <c r="AS61" s="7"/>
      <c r="AT61" s="7"/>
      <c r="AU61" s="7"/>
      <c r="AV61" s="7"/>
      <c r="AW61" s="31"/>
    </row>
    <row r="62" spans="1:49" s="16" customFormat="1" ht="15.75" x14ac:dyDescent="0.2">
      <c r="A62" s="520"/>
      <c r="B62" s="470" t="s">
        <v>8</v>
      </c>
      <c r="C62" s="141"/>
      <c r="D62" s="137"/>
      <c r="E62" s="137"/>
      <c r="F62" s="137"/>
      <c r="G62" s="137"/>
      <c r="H62" s="141"/>
      <c r="I62" s="141"/>
      <c r="J62" s="141"/>
      <c r="K62" s="137"/>
      <c r="L62" s="137"/>
      <c r="M62" s="137"/>
      <c r="N62" s="137"/>
      <c r="O62" s="141"/>
      <c r="P62" s="141"/>
      <c r="Q62" s="141"/>
      <c r="R62" s="141"/>
      <c r="S62" s="190"/>
      <c r="T62" s="216"/>
      <c r="U62" s="190"/>
      <c r="V62" s="190"/>
      <c r="W62" s="217"/>
      <c r="X62" s="190"/>
      <c r="Y62" s="218"/>
      <c r="Z62" s="585">
        <v>0.74517956498258475</v>
      </c>
      <c r="AA62" s="585">
        <v>0.7465678573743092</v>
      </c>
      <c r="AB62" s="585">
        <v>0.7487620538193116</v>
      </c>
      <c r="AC62" s="585">
        <v>0.75143972745013876</v>
      </c>
      <c r="AD62" s="585">
        <v>0.75454986970927551</v>
      </c>
      <c r="AE62" s="585">
        <v>0.75784687406232221</v>
      </c>
      <c r="AF62" s="585">
        <v>0.76399176914067579</v>
      </c>
      <c r="AG62" s="585">
        <v>0.77203838626329957</v>
      </c>
      <c r="AH62" s="585">
        <v>0.78219360111544622</v>
      </c>
      <c r="AI62" s="585">
        <v>0.79547634478328777</v>
      </c>
      <c r="AJ62" s="585">
        <v>0.81081089461187805</v>
      </c>
      <c r="AK62" s="585">
        <v>0.82434913276393418</v>
      </c>
      <c r="AL62" s="585">
        <v>0.8354423278800972</v>
      </c>
      <c r="AM62" s="585">
        <v>0.8450479839053685</v>
      </c>
      <c r="AN62" s="585">
        <v>0.85318844402646121</v>
      </c>
      <c r="AO62" s="585">
        <v>0.85945764960961679</v>
      </c>
      <c r="AP62" s="585">
        <v>0.86140403889454709</v>
      </c>
      <c r="AQ62" s="585">
        <v>0.86122389672428401</v>
      </c>
      <c r="AR62" s="4"/>
      <c r="AS62" s="4"/>
      <c r="AT62" s="4"/>
      <c r="AU62" s="4"/>
      <c r="AV62" s="4"/>
      <c r="AW62" s="477"/>
    </row>
    <row r="63" spans="1:49" s="16" customFormat="1" ht="15.75" x14ac:dyDescent="0.2">
      <c r="A63" s="520"/>
      <c r="B63" s="470" t="s">
        <v>7</v>
      </c>
      <c r="C63" s="141"/>
      <c r="D63" s="137"/>
      <c r="E63" s="137"/>
      <c r="F63" s="137"/>
      <c r="G63" s="137"/>
      <c r="H63" s="141"/>
      <c r="I63" s="141"/>
      <c r="J63" s="141"/>
      <c r="K63" s="137"/>
      <c r="L63" s="137"/>
      <c r="M63" s="137"/>
      <c r="N63" s="137"/>
      <c r="O63" s="141"/>
      <c r="P63" s="141"/>
      <c r="Q63" s="141"/>
      <c r="R63" s="141"/>
      <c r="S63" s="190"/>
      <c r="T63" s="216"/>
      <c r="U63" s="190"/>
      <c r="V63" s="190"/>
      <c r="W63" s="217"/>
      <c r="X63" s="190"/>
      <c r="Y63" s="218"/>
      <c r="Z63" s="585">
        <v>0.73480585190085945</v>
      </c>
      <c r="AA63" s="585">
        <v>0.73505152099159266</v>
      </c>
      <c r="AB63" s="585">
        <v>0.73478194724224932</v>
      </c>
      <c r="AC63" s="585">
        <v>0.73473429884337582</v>
      </c>
      <c r="AD63" s="585">
        <v>0.7351480979347027</v>
      </c>
      <c r="AE63" s="585">
        <v>0.73599943242925459</v>
      </c>
      <c r="AF63" s="585">
        <v>0.74231564559569396</v>
      </c>
      <c r="AG63" s="585">
        <v>0.7527330534198764</v>
      </c>
      <c r="AH63" s="585">
        <v>0.76570685725314902</v>
      </c>
      <c r="AI63" s="585">
        <v>0.78136581352512113</v>
      </c>
      <c r="AJ63" s="585">
        <v>0.79804514611053379</v>
      </c>
      <c r="AK63" s="585">
        <v>0.81072759136522998</v>
      </c>
      <c r="AL63" s="585">
        <v>0.82165238021632803</v>
      </c>
      <c r="AM63" s="585">
        <v>0.83213546209115052</v>
      </c>
      <c r="AN63" s="585">
        <v>0.84233367240076196</v>
      </c>
      <c r="AO63" s="585">
        <v>0.85059375884460953</v>
      </c>
      <c r="AP63" s="585">
        <v>0.85569169192597072</v>
      </c>
      <c r="AQ63" s="585">
        <v>0.85705178862549147</v>
      </c>
      <c r="AR63" s="4"/>
      <c r="AS63" s="4"/>
      <c r="AT63" s="4"/>
      <c r="AU63" s="4"/>
      <c r="AV63" s="4"/>
      <c r="AW63" s="477"/>
    </row>
    <row r="64" spans="1:49" s="3" customFormat="1" ht="15.75" x14ac:dyDescent="0.2">
      <c r="A64" s="148"/>
      <c r="B64" s="270" t="s">
        <v>800</v>
      </c>
      <c r="C64" s="141"/>
      <c r="D64" s="137"/>
      <c r="E64" s="137"/>
      <c r="F64" s="137"/>
      <c r="G64" s="137"/>
      <c r="H64" s="141"/>
      <c r="I64" s="141"/>
      <c r="J64" s="141"/>
      <c r="K64" s="137"/>
      <c r="L64" s="137"/>
      <c r="M64" s="137"/>
      <c r="N64" s="137"/>
      <c r="O64" s="141"/>
      <c r="P64" s="141"/>
      <c r="Q64" s="141"/>
      <c r="R64" s="141"/>
      <c r="S64" s="190"/>
      <c r="T64" s="216"/>
      <c r="U64" s="190"/>
      <c r="V64" s="190"/>
      <c r="W64" s="217"/>
      <c r="X64" s="190"/>
      <c r="Y64" s="218"/>
      <c r="Z64" s="585">
        <v>0.77646441384721343</v>
      </c>
      <c r="AA64" s="585">
        <v>0.77615678527186305</v>
      </c>
      <c r="AB64" s="585">
        <v>0.77557496316010288</v>
      </c>
      <c r="AC64" s="585">
        <v>0.77590036198389656</v>
      </c>
      <c r="AD64" s="585">
        <v>0.77696168685301015</v>
      </c>
      <c r="AE64" s="585">
        <v>0.77804015954097194</v>
      </c>
      <c r="AF64" s="585">
        <v>0.78345919335346548</v>
      </c>
      <c r="AG64" s="585">
        <v>0.79115577962159955</v>
      </c>
      <c r="AH64" s="585">
        <v>0.79970560396311718</v>
      </c>
      <c r="AI64" s="585">
        <v>0.80997687894933379</v>
      </c>
      <c r="AJ64" s="585">
        <v>0.82160201461334759</v>
      </c>
      <c r="AK64" s="585">
        <v>0.83089526880355524</v>
      </c>
      <c r="AL64" s="585">
        <v>0.83849037444153551</v>
      </c>
      <c r="AM64" s="585">
        <v>0.8458287192027496</v>
      </c>
      <c r="AN64" s="585">
        <v>0.8526196460239317</v>
      </c>
      <c r="AO64" s="585">
        <v>0.8577966778940167</v>
      </c>
      <c r="AP64" s="585">
        <v>0.85956471015285607</v>
      </c>
      <c r="AQ64" s="585">
        <v>0.85868298571252322</v>
      </c>
      <c r="AR64" s="7"/>
      <c r="AS64" s="7"/>
      <c r="AT64" s="7"/>
      <c r="AU64" s="7"/>
      <c r="AV64" s="7"/>
      <c r="AW64" s="31"/>
    </row>
    <row r="65" spans="1:49" s="3" customFormat="1" ht="72" x14ac:dyDescent="0.2">
      <c r="A65" s="148">
        <v>13</v>
      </c>
      <c r="B65" s="137" t="s">
        <v>81</v>
      </c>
      <c r="C65" s="141" t="s">
        <v>81</v>
      </c>
      <c r="D65" s="137" t="s">
        <v>446</v>
      </c>
      <c r="E65" s="137" t="s">
        <v>465</v>
      </c>
      <c r="F65" s="137" t="s">
        <v>350</v>
      </c>
      <c r="G65" s="137" t="s">
        <v>279</v>
      </c>
      <c r="H65" s="141" t="s">
        <v>473</v>
      </c>
      <c r="I65" s="141" t="s">
        <v>336</v>
      </c>
      <c r="J65" s="141" t="s">
        <v>374</v>
      </c>
      <c r="K65" s="137" t="s">
        <v>375</v>
      </c>
      <c r="L65" s="137"/>
      <c r="M65" s="137" t="s">
        <v>285</v>
      </c>
      <c r="N65" s="137" t="s">
        <v>286</v>
      </c>
      <c r="O65" s="141" t="s">
        <v>468</v>
      </c>
      <c r="P65" s="141" t="s">
        <v>350</v>
      </c>
      <c r="Q65" s="141"/>
      <c r="R65" s="141" t="s">
        <v>1017</v>
      </c>
      <c r="S65" s="190" t="s">
        <v>794</v>
      </c>
      <c r="T65" s="216"/>
      <c r="U65" s="190" t="s">
        <v>794</v>
      </c>
      <c r="V65" s="190"/>
      <c r="W65" s="217"/>
      <c r="X65" s="190"/>
      <c r="Y65" s="218"/>
      <c r="Z65" s="690">
        <v>2009</v>
      </c>
      <c r="AA65" s="691">
        <v>2010</v>
      </c>
      <c r="AB65" s="691">
        <v>2011</v>
      </c>
      <c r="AC65" s="691">
        <v>2012</v>
      </c>
      <c r="AD65" s="691">
        <v>2013</v>
      </c>
      <c r="AE65" s="7"/>
      <c r="AF65" s="7"/>
      <c r="AG65" s="7"/>
      <c r="AH65" s="7"/>
      <c r="AI65" s="7"/>
      <c r="AJ65" s="7"/>
      <c r="AK65" s="7"/>
      <c r="AL65" s="7"/>
      <c r="AM65" s="7"/>
      <c r="AN65" s="7"/>
      <c r="AO65" s="7"/>
      <c r="AP65" s="7"/>
      <c r="AQ65" s="7"/>
      <c r="AR65" s="7"/>
      <c r="AS65" s="7"/>
      <c r="AT65" s="7"/>
      <c r="AU65" s="7"/>
      <c r="AV65" s="7"/>
      <c r="AW65" s="31"/>
    </row>
    <row r="66" spans="1:49" s="3" customFormat="1" ht="15.75" x14ac:dyDescent="0.2">
      <c r="A66" s="148"/>
      <c r="B66" s="375" t="s">
        <v>246</v>
      </c>
      <c r="C66" s="141"/>
      <c r="D66" s="137"/>
      <c r="E66" s="137"/>
      <c r="F66" s="137"/>
      <c r="G66" s="137"/>
      <c r="H66" s="141"/>
      <c r="I66" s="141"/>
      <c r="J66" s="141"/>
      <c r="K66" s="137"/>
      <c r="L66" s="137"/>
      <c r="M66" s="137"/>
      <c r="N66" s="137"/>
      <c r="O66" s="141"/>
      <c r="P66" s="141"/>
      <c r="Q66" s="141"/>
      <c r="R66" s="141"/>
      <c r="S66" s="190"/>
      <c r="T66" s="216"/>
      <c r="U66" s="190"/>
      <c r="V66" s="190"/>
      <c r="W66" s="217"/>
      <c r="X66" s="190"/>
      <c r="Y66" s="218"/>
      <c r="Z66" s="7">
        <v>51</v>
      </c>
      <c r="AA66" s="7">
        <v>58.3</v>
      </c>
      <c r="AB66" s="7">
        <v>58.1</v>
      </c>
      <c r="AC66" s="7">
        <v>61.6</v>
      </c>
      <c r="AD66" s="7">
        <v>64.900000000000006</v>
      </c>
      <c r="AE66" s="7"/>
      <c r="AF66" s="7"/>
      <c r="AG66" s="7"/>
      <c r="AH66" s="7"/>
      <c r="AI66" s="7"/>
      <c r="AJ66" s="7"/>
      <c r="AK66" s="7"/>
      <c r="AL66" s="7"/>
      <c r="AM66" s="7"/>
      <c r="AN66" s="7"/>
      <c r="AO66" s="7"/>
      <c r="AP66" s="7"/>
      <c r="AQ66" s="7"/>
      <c r="AR66" s="7"/>
      <c r="AS66" s="7"/>
      <c r="AT66" s="7"/>
      <c r="AU66" s="7"/>
      <c r="AV66" s="7"/>
      <c r="AW66" s="31"/>
    </row>
    <row r="67" spans="1:49" s="3" customFormat="1" ht="15.75" x14ac:dyDescent="0.2">
      <c r="A67" s="148"/>
      <c r="B67" s="375" t="s">
        <v>242</v>
      </c>
      <c r="C67" s="141"/>
      <c r="D67" s="137"/>
      <c r="E67" s="137"/>
      <c r="F67" s="137"/>
      <c r="G67" s="137"/>
      <c r="H67" s="141"/>
      <c r="I67" s="141"/>
      <c r="J67" s="141"/>
      <c r="K67" s="137"/>
      <c r="L67" s="137"/>
      <c r="M67" s="137"/>
      <c r="N67" s="137"/>
      <c r="O67" s="141"/>
      <c r="P67" s="141"/>
      <c r="Q67" s="141"/>
      <c r="R67" s="141"/>
      <c r="S67" s="190"/>
      <c r="T67" s="216"/>
      <c r="U67" s="190"/>
      <c r="V67" s="190"/>
      <c r="W67" s="217"/>
      <c r="X67" s="190"/>
      <c r="Y67" s="218"/>
      <c r="Z67" s="7">
        <v>69.400000000000006</v>
      </c>
      <c r="AA67" s="7">
        <v>70.7</v>
      </c>
      <c r="AB67" s="7">
        <v>75.7</v>
      </c>
      <c r="AC67" s="7">
        <v>81.099999999999994</v>
      </c>
      <c r="AD67" s="7">
        <v>87.4</v>
      </c>
      <c r="AE67" s="7"/>
      <c r="AF67" s="7"/>
      <c r="AG67" s="7"/>
      <c r="AH67" s="7"/>
      <c r="AI67" s="7"/>
      <c r="AJ67" s="7"/>
      <c r="AK67" s="7"/>
      <c r="AL67" s="7"/>
      <c r="AM67" s="7"/>
      <c r="AN67" s="7"/>
      <c r="AO67" s="7"/>
      <c r="AP67" s="7"/>
      <c r="AQ67" s="7"/>
      <c r="AR67" s="7"/>
      <c r="AS67" s="7"/>
      <c r="AT67" s="7"/>
      <c r="AU67" s="7"/>
      <c r="AV67" s="7"/>
      <c r="AW67" s="31"/>
    </row>
    <row r="68" spans="1:49" s="3" customFormat="1" ht="15.75" x14ac:dyDescent="0.2">
      <c r="A68" s="148"/>
      <c r="B68" s="375" t="s">
        <v>239</v>
      </c>
      <c r="C68" s="141"/>
      <c r="D68" s="137"/>
      <c r="E68" s="137"/>
      <c r="F68" s="137"/>
      <c r="G68" s="137"/>
      <c r="H68" s="141"/>
      <c r="I68" s="141"/>
      <c r="J68" s="141"/>
      <c r="K68" s="137"/>
      <c r="L68" s="137"/>
      <c r="M68" s="137"/>
      <c r="N68" s="137"/>
      <c r="O68" s="141"/>
      <c r="P68" s="141"/>
      <c r="Q68" s="141"/>
      <c r="R68" s="141"/>
      <c r="S68" s="190"/>
      <c r="T68" s="216"/>
      <c r="U68" s="190"/>
      <c r="V68" s="190"/>
      <c r="W68" s="217"/>
      <c r="X68" s="190"/>
      <c r="Y68" s="218"/>
      <c r="Z68" s="7">
        <v>71.8</v>
      </c>
      <c r="AA68" s="7">
        <v>78.599999999999994</v>
      </c>
      <c r="AB68" s="7">
        <v>81.099999999999994</v>
      </c>
      <c r="AC68" s="7">
        <v>83.9</v>
      </c>
      <c r="AD68" s="7">
        <v>87</v>
      </c>
      <c r="AE68" s="7"/>
      <c r="AF68" s="7"/>
      <c r="AG68" s="7"/>
      <c r="AH68" s="7"/>
      <c r="AI68" s="7"/>
      <c r="AJ68" s="7"/>
      <c r="AK68" s="7"/>
      <c r="AL68" s="7"/>
      <c r="AM68" s="7"/>
      <c r="AN68" s="7"/>
      <c r="AO68" s="7"/>
      <c r="AP68" s="7"/>
      <c r="AQ68" s="7"/>
      <c r="AR68" s="7"/>
      <c r="AS68" s="7"/>
      <c r="AT68" s="7"/>
      <c r="AU68" s="7"/>
      <c r="AV68" s="7"/>
      <c r="AW68" s="31"/>
    </row>
    <row r="69" spans="1:49" s="3" customFormat="1" ht="15.75" x14ac:dyDescent="0.2">
      <c r="A69" s="148"/>
      <c r="B69" s="375" t="s">
        <v>848</v>
      </c>
      <c r="C69" s="141"/>
      <c r="D69" s="137"/>
      <c r="E69" s="137"/>
      <c r="F69" s="137"/>
      <c r="G69" s="137"/>
      <c r="H69" s="141"/>
      <c r="I69" s="141"/>
      <c r="J69" s="141"/>
      <c r="K69" s="137"/>
      <c r="L69" s="137"/>
      <c r="M69" s="137"/>
      <c r="N69" s="137"/>
      <c r="O69" s="141"/>
      <c r="P69" s="141"/>
      <c r="Q69" s="141"/>
      <c r="R69" s="141"/>
      <c r="S69" s="190"/>
      <c r="T69" s="216"/>
      <c r="U69" s="190"/>
      <c r="V69" s="190"/>
      <c r="W69" s="217"/>
      <c r="X69" s="190"/>
      <c r="Y69" s="218"/>
      <c r="Z69" s="7">
        <v>61.1</v>
      </c>
      <c r="AA69" s="7">
        <v>70.7</v>
      </c>
      <c r="AB69" s="7">
        <v>68.099999999999994</v>
      </c>
      <c r="AC69" s="7">
        <v>73.099999999999994</v>
      </c>
      <c r="AD69" s="7">
        <v>77.400000000000006</v>
      </c>
      <c r="AE69" s="7"/>
      <c r="AF69" s="7"/>
      <c r="AG69" s="7"/>
      <c r="AH69" s="7"/>
      <c r="AI69" s="7"/>
      <c r="AJ69" s="7"/>
      <c r="AK69" s="7"/>
      <c r="AL69" s="7"/>
      <c r="AM69" s="7"/>
      <c r="AN69" s="7"/>
      <c r="AO69" s="7"/>
      <c r="AP69" s="7"/>
      <c r="AQ69" s="7"/>
      <c r="AR69" s="7"/>
      <c r="AS69" s="7"/>
      <c r="AT69" s="7"/>
      <c r="AU69" s="7"/>
      <c r="AV69" s="7"/>
      <c r="AW69" s="31"/>
    </row>
    <row r="70" spans="1:49" s="3" customFormat="1" ht="15.75" x14ac:dyDescent="0.2">
      <c r="A70" s="148"/>
      <c r="B70" s="375" t="s">
        <v>244</v>
      </c>
      <c r="C70" s="141"/>
      <c r="D70" s="137"/>
      <c r="E70" s="137"/>
      <c r="F70" s="137"/>
      <c r="G70" s="137"/>
      <c r="H70" s="141"/>
      <c r="I70" s="141"/>
      <c r="J70" s="141"/>
      <c r="K70" s="137"/>
      <c r="L70" s="137"/>
      <c r="M70" s="137"/>
      <c r="N70" s="137"/>
      <c r="O70" s="141"/>
      <c r="P70" s="141"/>
      <c r="Q70" s="141"/>
      <c r="R70" s="141"/>
      <c r="S70" s="190"/>
      <c r="T70" s="216"/>
      <c r="U70" s="190"/>
      <c r="V70" s="190"/>
      <c r="W70" s="217"/>
      <c r="X70" s="190"/>
      <c r="Y70" s="218"/>
      <c r="Z70" s="7">
        <v>48.9</v>
      </c>
      <c r="AA70" s="7">
        <v>57.9</v>
      </c>
      <c r="AB70" s="7">
        <v>63.9</v>
      </c>
      <c r="AC70" s="7">
        <v>66.900000000000006</v>
      </c>
      <c r="AD70" s="7">
        <v>71.8</v>
      </c>
      <c r="AE70" s="7"/>
      <c r="AF70" s="7"/>
      <c r="AG70" s="7"/>
      <c r="AH70" s="7"/>
      <c r="AI70" s="7"/>
      <c r="AJ70" s="7"/>
      <c r="AK70" s="7"/>
      <c r="AL70" s="7"/>
      <c r="AM70" s="7"/>
      <c r="AN70" s="7"/>
      <c r="AO70" s="7"/>
      <c r="AP70" s="7"/>
      <c r="AQ70" s="7"/>
      <c r="AR70" s="7"/>
      <c r="AS70" s="7"/>
      <c r="AT70" s="7"/>
      <c r="AU70" s="7"/>
      <c r="AV70" s="7"/>
      <c r="AW70" s="31"/>
    </row>
    <row r="71" spans="1:49" s="3" customFormat="1" ht="15.75" x14ac:dyDescent="0.2">
      <c r="A71" s="148"/>
      <c r="B71" s="375" t="s">
        <v>245</v>
      </c>
      <c r="C71" s="141"/>
      <c r="D71" s="137"/>
      <c r="E71" s="137"/>
      <c r="F71" s="137"/>
      <c r="G71" s="137"/>
      <c r="H71" s="141"/>
      <c r="I71" s="141"/>
      <c r="J71" s="141"/>
      <c r="K71" s="137"/>
      <c r="L71" s="137"/>
      <c r="M71" s="137"/>
      <c r="N71" s="137"/>
      <c r="O71" s="141"/>
      <c r="P71" s="141"/>
      <c r="Q71" s="141"/>
      <c r="R71" s="141"/>
      <c r="S71" s="190"/>
      <c r="T71" s="216"/>
      <c r="U71" s="190"/>
      <c r="V71" s="190"/>
      <c r="W71" s="217"/>
      <c r="X71" s="190"/>
      <c r="Y71" s="218"/>
      <c r="Z71" s="7">
        <v>47.9</v>
      </c>
      <c r="AA71" s="7">
        <v>56.8</v>
      </c>
      <c r="AB71" s="7">
        <v>64.8</v>
      </c>
      <c r="AC71" s="7">
        <v>70</v>
      </c>
      <c r="AD71" s="7">
        <v>77.599999999999994</v>
      </c>
      <c r="AE71" s="7"/>
      <c r="AF71" s="7"/>
      <c r="AG71" s="7"/>
      <c r="AH71" s="7"/>
      <c r="AI71" s="7"/>
      <c r="AJ71" s="7"/>
      <c r="AK71" s="7"/>
      <c r="AL71" s="7"/>
      <c r="AM71" s="7"/>
      <c r="AN71" s="7"/>
      <c r="AO71" s="7"/>
      <c r="AP71" s="7"/>
      <c r="AQ71" s="7"/>
      <c r="AR71" s="7"/>
      <c r="AS71" s="7"/>
      <c r="AT71" s="7"/>
      <c r="AU71" s="7"/>
      <c r="AV71" s="7"/>
      <c r="AW71" s="31"/>
    </row>
    <row r="72" spans="1:49" s="3" customFormat="1" ht="15.75" x14ac:dyDescent="0.2">
      <c r="A72" s="148"/>
      <c r="B72" s="375" t="s">
        <v>243</v>
      </c>
      <c r="C72" s="141"/>
      <c r="D72" s="137"/>
      <c r="E72" s="137"/>
      <c r="F72" s="137"/>
      <c r="G72" s="137"/>
      <c r="H72" s="141"/>
      <c r="I72" s="141"/>
      <c r="J72" s="141"/>
      <c r="K72" s="137"/>
      <c r="L72" s="137"/>
      <c r="M72" s="137"/>
      <c r="N72" s="137"/>
      <c r="O72" s="141"/>
      <c r="P72" s="141"/>
      <c r="Q72" s="141"/>
      <c r="R72" s="141"/>
      <c r="S72" s="190"/>
      <c r="T72" s="216"/>
      <c r="U72" s="190"/>
      <c r="V72" s="190"/>
      <c r="W72" s="217"/>
      <c r="X72" s="190"/>
      <c r="Y72" s="218"/>
      <c r="Z72" s="7">
        <v>67.5</v>
      </c>
      <c r="AA72" s="7">
        <v>75.7</v>
      </c>
      <c r="AB72" s="7">
        <v>77.8</v>
      </c>
      <c r="AC72" s="7">
        <v>79.5</v>
      </c>
      <c r="AD72" s="7">
        <v>87.2</v>
      </c>
      <c r="AE72" s="7"/>
      <c r="AF72" s="7"/>
      <c r="AG72" s="7"/>
      <c r="AH72" s="7"/>
      <c r="AI72" s="7"/>
      <c r="AJ72" s="7"/>
      <c r="AK72" s="7"/>
      <c r="AL72" s="7"/>
      <c r="AM72" s="7"/>
      <c r="AN72" s="7"/>
      <c r="AO72" s="7"/>
      <c r="AP72" s="7"/>
      <c r="AQ72" s="7"/>
      <c r="AR72" s="7"/>
      <c r="AS72" s="7"/>
      <c r="AT72" s="7"/>
      <c r="AU72" s="7"/>
      <c r="AV72" s="7"/>
      <c r="AW72" s="31"/>
    </row>
    <row r="73" spans="1:49" s="3" customFormat="1" ht="15.75" x14ac:dyDescent="0.2">
      <c r="A73" s="148"/>
      <c r="B73" s="375" t="s">
        <v>250</v>
      </c>
      <c r="D73" s="137"/>
      <c r="E73" s="137"/>
      <c r="F73" s="137"/>
      <c r="G73" s="137"/>
      <c r="H73" s="141"/>
      <c r="I73" s="141"/>
      <c r="J73" s="141"/>
      <c r="K73" s="137"/>
      <c r="L73" s="137"/>
      <c r="M73" s="137"/>
      <c r="N73" s="137"/>
      <c r="O73" s="141"/>
      <c r="P73" s="141"/>
      <c r="Q73" s="141"/>
      <c r="R73" s="141"/>
      <c r="S73" s="190"/>
      <c r="T73" s="216"/>
      <c r="U73" s="190"/>
      <c r="V73" s="190"/>
      <c r="W73" s="217"/>
      <c r="X73" s="190"/>
      <c r="Y73" s="218"/>
      <c r="Z73" s="7">
        <v>61.3</v>
      </c>
      <c r="AA73" s="7">
        <v>72.3</v>
      </c>
      <c r="AB73" s="7">
        <v>68.8</v>
      </c>
      <c r="AC73" s="7">
        <v>74.599999999999994</v>
      </c>
      <c r="AD73" s="7">
        <v>74.5</v>
      </c>
      <c r="AE73" s="7"/>
      <c r="AF73" s="7"/>
      <c r="AG73" s="7"/>
      <c r="AH73" s="7"/>
      <c r="AI73" s="7"/>
      <c r="AJ73" s="7"/>
      <c r="AK73" s="7"/>
      <c r="AL73" s="7"/>
      <c r="AM73" s="7"/>
      <c r="AN73" s="7"/>
      <c r="AO73" s="7"/>
      <c r="AP73" s="7"/>
      <c r="AQ73" s="7"/>
      <c r="AR73" s="7"/>
      <c r="AS73" s="7"/>
      <c r="AT73" s="7"/>
      <c r="AU73" s="7"/>
      <c r="AV73" s="7"/>
      <c r="AW73" s="31"/>
    </row>
    <row r="74" spans="1:49" s="3" customFormat="1" ht="15.75" x14ac:dyDescent="0.2">
      <c r="A74" s="148"/>
      <c r="B74" s="375" t="s">
        <v>240</v>
      </c>
      <c r="C74" s="141"/>
      <c r="D74" s="137"/>
      <c r="E74" s="137"/>
      <c r="F74" s="137"/>
      <c r="G74" s="137"/>
      <c r="H74" s="141"/>
      <c r="I74" s="141"/>
      <c r="J74" s="141"/>
      <c r="K74" s="137"/>
      <c r="L74" s="137"/>
      <c r="M74" s="137"/>
      <c r="N74" s="137"/>
      <c r="O74" s="141"/>
      <c r="P74" s="141"/>
      <c r="Q74" s="141"/>
      <c r="R74" s="141"/>
      <c r="S74" s="190"/>
      <c r="T74" s="216"/>
      <c r="U74" s="190"/>
      <c r="V74" s="190"/>
      <c r="W74" s="217"/>
      <c r="X74" s="190"/>
      <c r="Y74" s="218"/>
      <c r="Z74" s="7">
        <v>75.7</v>
      </c>
      <c r="AA74" s="7">
        <v>76.8</v>
      </c>
      <c r="AB74" s="7">
        <v>82.9</v>
      </c>
      <c r="AC74" s="7">
        <v>82.8</v>
      </c>
      <c r="AD74" s="7">
        <v>85.1</v>
      </c>
      <c r="AE74" s="7"/>
      <c r="AF74" s="7"/>
      <c r="AG74" s="7"/>
      <c r="AH74" s="7"/>
      <c r="AI74" s="7"/>
      <c r="AJ74" s="7"/>
      <c r="AK74" s="7"/>
      <c r="AL74" s="7"/>
      <c r="AM74" s="7"/>
      <c r="AN74" s="7"/>
      <c r="AO74" s="7"/>
      <c r="AP74" s="7"/>
      <c r="AQ74" s="7"/>
      <c r="AR74" s="7"/>
      <c r="AS74" s="7"/>
      <c r="AT74" s="7"/>
      <c r="AU74" s="7"/>
      <c r="AV74" s="7"/>
      <c r="AW74" s="31"/>
    </row>
    <row r="75" spans="1:49" s="171" customFormat="1" ht="15.75" x14ac:dyDescent="0.25">
      <c r="A75" s="137"/>
      <c r="B75" s="129"/>
      <c r="C75" s="130"/>
      <c r="D75" s="129"/>
      <c r="E75" s="129"/>
      <c r="F75" s="129"/>
      <c r="G75" s="129"/>
      <c r="H75" s="130"/>
      <c r="I75" s="130"/>
      <c r="J75" s="130"/>
      <c r="K75" s="129"/>
      <c r="L75" s="129"/>
      <c r="M75" s="129"/>
      <c r="N75" s="129"/>
      <c r="O75" s="130"/>
      <c r="P75" s="130"/>
      <c r="Q75" s="130"/>
      <c r="R75" s="130"/>
      <c r="S75" s="189"/>
      <c r="T75" s="189"/>
      <c r="U75" s="189"/>
      <c r="V75" s="189"/>
      <c r="W75" s="189"/>
      <c r="X75" s="189"/>
      <c r="Y75" s="215"/>
      <c r="Z75" s="710" t="s">
        <v>239</v>
      </c>
      <c r="AA75" s="709" t="s">
        <v>240</v>
      </c>
      <c r="AB75" s="709" t="s">
        <v>241</v>
      </c>
      <c r="AC75" s="709" t="s">
        <v>242</v>
      </c>
      <c r="AD75" s="709" t="s">
        <v>243</v>
      </c>
      <c r="AE75" s="709" t="s">
        <v>244</v>
      </c>
      <c r="AF75" s="709" t="s">
        <v>245</v>
      </c>
      <c r="AG75" s="709" t="s">
        <v>250</v>
      </c>
      <c r="AH75" s="709" t="s">
        <v>246</v>
      </c>
    </row>
    <row r="76" spans="1:49" s="3" customFormat="1" ht="24" x14ac:dyDescent="0.2">
      <c r="A76" s="148">
        <v>14</v>
      </c>
      <c r="B76" s="129" t="s">
        <v>82</v>
      </c>
      <c r="C76" s="130" t="s">
        <v>476</v>
      </c>
      <c r="D76" s="129" t="s">
        <v>446</v>
      </c>
      <c r="E76" s="129" t="s">
        <v>477</v>
      </c>
      <c r="F76" s="129" t="s">
        <v>350</v>
      </c>
      <c r="G76" s="129" t="s">
        <v>306</v>
      </c>
      <c r="H76" s="130" t="s">
        <v>478</v>
      </c>
      <c r="I76" s="130" t="s">
        <v>479</v>
      </c>
      <c r="J76" s="130" t="s">
        <v>350</v>
      </c>
      <c r="K76" s="129" t="s">
        <v>350</v>
      </c>
      <c r="L76" s="129"/>
      <c r="M76" s="129" t="s">
        <v>285</v>
      </c>
      <c r="N76" s="129" t="s">
        <v>286</v>
      </c>
      <c r="O76" s="130" t="s">
        <v>480</v>
      </c>
      <c r="P76" s="130" t="s">
        <v>481</v>
      </c>
      <c r="Q76" s="130"/>
      <c r="R76" s="141" t="s">
        <v>953</v>
      </c>
      <c r="S76" s="189"/>
      <c r="T76" s="213"/>
      <c r="U76" s="189" t="s">
        <v>794</v>
      </c>
      <c r="V76" s="189"/>
      <c r="W76" s="214"/>
      <c r="X76" s="189"/>
      <c r="Y76" s="215"/>
      <c r="Z76" s="7"/>
      <c r="AA76" s="437"/>
      <c r="AB76" s="7"/>
      <c r="AC76" s="437"/>
      <c r="AD76" s="7"/>
      <c r="AE76" s="437"/>
      <c r="AF76" s="7"/>
      <c r="AG76" s="437"/>
      <c r="AH76" s="31"/>
      <c r="AI76" s="7"/>
      <c r="AJ76" s="7"/>
      <c r="AK76" s="7"/>
      <c r="AL76" s="7"/>
      <c r="AM76" s="7"/>
      <c r="AN76" s="7"/>
      <c r="AO76" s="7"/>
      <c r="AP76" s="7"/>
      <c r="AQ76" s="7"/>
      <c r="AR76" s="7"/>
      <c r="AS76" s="7"/>
      <c r="AT76" s="7"/>
      <c r="AU76" s="7"/>
      <c r="AV76" s="7"/>
      <c r="AW76" s="31"/>
    </row>
    <row r="77" spans="1:49" s="3" customFormat="1" ht="24" x14ac:dyDescent="0.2">
      <c r="A77" s="148">
        <v>15</v>
      </c>
      <c r="B77" s="129" t="s">
        <v>83</v>
      </c>
      <c r="C77" s="130" t="s">
        <v>482</v>
      </c>
      <c r="D77" s="129" t="s">
        <v>446</v>
      </c>
      <c r="E77" s="129" t="s">
        <v>477</v>
      </c>
      <c r="F77" s="129" t="s">
        <v>350</v>
      </c>
      <c r="G77" s="129" t="s">
        <v>279</v>
      </c>
      <c r="H77" s="130" t="s">
        <v>478</v>
      </c>
      <c r="I77" s="130" t="s">
        <v>479</v>
      </c>
      <c r="J77" s="130" t="s">
        <v>350</v>
      </c>
      <c r="K77" s="129" t="s">
        <v>350</v>
      </c>
      <c r="L77" s="129"/>
      <c r="M77" s="129" t="s">
        <v>285</v>
      </c>
      <c r="N77" s="129" t="s">
        <v>286</v>
      </c>
      <c r="O77" s="130" t="s">
        <v>480</v>
      </c>
      <c r="P77" s="130" t="s">
        <v>483</v>
      </c>
      <c r="Q77" s="130"/>
      <c r="R77" s="141" t="s">
        <v>953</v>
      </c>
      <c r="S77" s="189"/>
      <c r="T77" s="213"/>
      <c r="U77" s="189" t="s">
        <v>794</v>
      </c>
      <c r="V77" s="189"/>
      <c r="W77" s="214"/>
      <c r="X77" s="189"/>
      <c r="Y77" s="215"/>
      <c r="Z77" s="7"/>
      <c r="AA77" s="437"/>
      <c r="AB77" s="7"/>
      <c r="AC77" s="437"/>
      <c r="AD77" s="7"/>
      <c r="AE77" s="437"/>
      <c r="AF77" s="7"/>
      <c r="AG77" s="437"/>
      <c r="AH77" s="31"/>
      <c r="AI77" s="7"/>
      <c r="AJ77" s="7"/>
      <c r="AK77" s="7"/>
      <c r="AL77" s="7"/>
      <c r="AM77" s="7"/>
      <c r="AN77" s="7"/>
      <c r="AO77" s="7"/>
      <c r="AP77" s="7"/>
      <c r="AQ77" s="7"/>
      <c r="AR77" s="7"/>
      <c r="AS77" s="7"/>
      <c r="AT77" s="7"/>
      <c r="AU77" s="7"/>
      <c r="AV77" s="7"/>
      <c r="AW77" s="31"/>
    </row>
    <row r="78" spans="1:49" s="398" customFormat="1" ht="36" x14ac:dyDescent="0.2">
      <c r="A78" s="407">
        <v>16</v>
      </c>
      <c r="B78" s="638" t="s">
        <v>247</v>
      </c>
      <c r="C78" s="638" t="s">
        <v>484</v>
      </c>
      <c r="D78" s="639" t="s">
        <v>446</v>
      </c>
      <c r="E78" s="639" t="s">
        <v>477</v>
      </c>
      <c r="F78" s="639" t="s">
        <v>350</v>
      </c>
      <c r="G78" s="639" t="s">
        <v>279</v>
      </c>
      <c r="H78" s="638" t="s">
        <v>485</v>
      </c>
      <c r="I78" s="638" t="s">
        <v>479</v>
      </c>
      <c r="J78" s="638" t="s">
        <v>350</v>
      </c>
      <c r="K78" s="639" t="s">
        <v>350</v>
      </c>
      <c r="L78" s="639"/>
      <c r="M78" s="639" t="s">
        <v>285</v>
      </c>
      <c r="N78" s="639" t="s">
        <v>286</v>
      </c>
      <c r="O78" s="638" t="s">
        <v>480</v>
      </c>
      <c r="P78" s="638" t="s">
        <v>350</v>
      </c>
      <c r="Q78" s="638"/>
      <c r="R78" s="638" t="s">
        <v>1015</v>
      </c>
      <c r="S78" s="393"/>
      <c r="T78" s="394" t="s">
        <v>794</v>
      </c>
      <c r="U78" s="393"/>
      <c r="V78" s="393"/>
      <c r="W78" s="395"/>
      <c r="X78" s="393"/>
      <c r="Y78" s="396"/>
      <c r="Z78" s="399"/>
      <c r="AA78" s="640"/>
      <c r="AB78" s="399"/>
      <c r="AC78" s="640"/>
      <c r="AD78" s="399"/>
      <c r="AE78" s="640"/>
      <c r="AF78" s="399"/>
      <c r="AG78" s="640"/>
      <c r="AH78" s="400"/>
      <c r="AI78" s="399"/>
      <c r="AJ78" s="399"/>
      <c r="AK78" s="399"/>
      <c r="AL78" s="399"/>
      <c r="AM78" s="399"/>
      <c r="AN78" s="399"/>
      <c r="AO78" s="399"/>
      <c r="AP78" s="399"/>
      <c r="AQ78" s="399"/>
      <c r="AR78" s="399"/>
      <c r="AS78" s="399"/>
      <c r="AT78" s="399"/>
      <c r="AU78" s="399"/>
      <c r="AV78" s="399"/>
      <c r="AW78" s="400"/>
    </row>
    <row r="79" spans="1:49" s="3" customFormat="1" ht="15.75" x14ac:dyDescent="0.2">
      <c r="A79" s="148"/>
      <c r="B79" s="129">
        <v>2002</v>
      </c>
      <c r="C79" s="130"/>
      <c r="D79" s="129"/>
      <c r="E79" s="129"/>
      <c r="F79" s="129"/>
      <c r="G79" s="129"/>
      <c r="H79" s="130"/>
      <c r="I79" s="130"/>
      <c r="J79" s="130"/>
      <c r="K79" s="129"/>
      <c r="L79" s="129"/>
      <c r="M79" s="129"/>
      <c r="N79" s="129"/>
      <c r="O79" s="130"/>
      <c r="P79" s="130"/>
      <c r="Q79" s="130"/>
      <c r="R79" s="130"/>
      <c r="S79" s="189"/>
      <c r="T79" s="213"/>
      <c r="U79" s="189"/>
      <c r="V79" s="189"/>
      <c r="W79" s="214"/>
      <c r="X79" s="189"/>
      <c r="Y79" s="215"/>
      <c r="Z79" s="55">
        <v>17909</v>
      </c>
      <c r="AA79" s="438">
        <v>11874</v>
      </c>
      <c r="AB79" s="55">
        <v>27790</v>
      </c>
      <c r="AC79" s="438">
        <v>5278</v>
      </c>
      <c r="AD79" s="55">
        <v>7518</v>
      </c>
      <c r="AE79" s="438">
        <v>12334</v>
      </c>
      <c r="AF79" s="55">
        <v>4568</v>
      </c>
      <c r="AG79" s="438">
        <v>1856</v>
      </c>
      <c r="AH79" s="436">
        <v>16957</v>
      </c>
      <c r="AI79" s="7"/>
      <c r="AJ79" s="7"/>
      <c r="AK79" s="7"/>
      <c r="AL79" s="7"/>
      <c r="AM79" s="7"/>
      <c r="AN79" s="7"/>
      <c r="AO79" s="7"/>
      <c r="AP79" s="7"/>
      <c r="AQ79" s="7"/>
      <c r="AR79" s="7"/>
      <c r="AS79" s="7"/>
      <c r="AT79" s="7"/>
      <c r="AU79" s="7"/>
      <c r="AV79" s="7"/>
      <c r="AW79" s="31"/>
    </row>
    <row r="80" spans="1:49" s="3" customFormat="1" ht="15.75" x14ac:dyDescent="0.2">
      <c r="A80" s="148"/>
      <c r="B80" s="129">
        <v>2003</v>
      </c>
      <c r="C80" s="130"/>
      <c r="D80" s="129"/>
      <c r="E80" s="129"/>
      <c r="F80" s="129"/>
      <c r="G80" s="129"/>
      <c r="H80" s="130"/>
      <c r="I80" s="130"/>
      <c r="J80" s="130"/>
      <c r="K80" s="129"/>
      <c r="L80" s="129"/>
      <c r="M80" s="129"/>
      <c r="N80" s="129"/>
      <c r="O80" s="130"/>
      <c r="P80" s="130"/>
      <c r="Q80" s="130"/>
      <c r="R80" s="130"/>
      <c r="S80" s="189"/>
      <c r="T80" s="213"/>
      <c r="U80" s="189"/>
      <c r="V80" s="189"/>
      <c r="W80" s="214"/>
      <c r="X80" s="189"/>
      <c r="Y80" s="215"/>
      <c r="Z80" s="55">
        <v>17581</v>
      </c>
      <c r="AA80" s="438">
        <v>10284</v>
      </c>
      <c r="AB80" s="55">
        <v>28322</v>
      </c>
      <c r="AC80" s="438">
        <v>6875</v>
      </c>
      <c r="AD80" s="55">
        <v>5652</v>
      </c>
      <c r="AE80" s="438">
        <v>11977</v>
      </c>
      <c r="AF80" s="55">
        <v>4263</v>
      </c>
      <c r="AG80" s="438">
        <v>1859</v>
      </c>
      <c r="AH80" s="436">
        <v>18998</v>
      </c>
      <c r="AI80" s="7"/>
      <c r="AJ80" s="7"/>
      <c r="AK80" s="7"/>
      <c r="AL80" s="7"/>
      <c r="AM80" s="7"/>
      <c r="AN80" s="7"/>
      <c r="AO80" s="7"/>
      <c r="AP80" s="7"/>
      <c r="AQ80" s="7"/>
      <c r="AR80" s="7"/>
      <c r="AS80" s="7"/>
      <c r="AT80" s="7"/>
      <c r="AU80" s="7"/>
      <c r="AV80" s="7"/>
      <c r="AW80" s="31"/>
    </row>
    <row r="81" spans="1:49" s="3" customFormat="1" ht="15.75" x14ac:dyDescent="0.2">
      <c r="A81" s="148"/>
      <c r="B81" s="129">
        <v>2004</v>
      </c>
      <c r="C81" s="130"/>
      <c r="D81" s="129"/>
      <c r="E81" s="129"/>
      <c r="F81" s="129"/>
      <c r="G81" s="129"/>
      <c r="H81" s="130"/>
      <c r="I81" s="130"/>
      <c r="J81" s="130"/>
      <c r="K81" s="129"/>
      <c r="L81" s="129"/>
      <c r="M81" s="129"/>
      <c r="N81" s="129"/>
      <c r="O81" s="130"/>
      <c r="P81" s="130"/>
      <c r="Q81" s="130"/>
      <c r="R81" s="130"/>
      <c r="S81" s="189"/>
      <c r="T81" s="213"/>
      <c r="U81" s="189"/>
      <c r="V81" s="189"/>
      <c r="W81" s="214"/>
      <c r="X81" s="189"/>
      <c r="Y81" s="215"/>
      <c r="Z81" s="55">
        <v>16211</v>
      </c>
      <c r="AA81" s="438">
        <v>9515</v>
      </c>
      <c r="AB81" s="55">
        <v>27014</v>
      </c>
      <c r="AC81" s="438">
        <v>5046</v>
      </c>
      <c r="AD81" s="55">
        <v>7026</v>
      </c>
      <c r="AE81" s="438">
        <v>12198</v>
      </c>
      <c r="AF81" s="55">
        <v>4949</v>
      </c>
      <c r="AG81" s="438">
        <v>1618</v>
      </c>
      <c r="AH81" s="436">
        <v>16570</v>
      </c>
      <c r="AI81" s="7"/>
      <c r="AJ81" s="7"/>
      <c r="AK81" s="7"/>
      <c r="AL81" s="7"/>
      <c r="AM81" s="7"/>
      <c r="AN81" s="7"/>
      <c r="AO81" s="7"/>
      <c r="AP81" s="7"/>
      <c r="AQ81" s="7"/>
      <c r="AR81" s="7"/>
      <c r="AS81" s="7"/>
      <c r="AT81" s="7"/>
      <c r="AU81" s="7"/>
      <c r="AV81" s="7"/>
      <c r="AW81" s="31"/>
    </row>
    <row r="82" spans="1:49" s="3" customFormat="1" ht="15.75" x14ac:dyDescent="0.2">
      <c r="A82" s="148"/>
      <c r="B82" s="129">
        <v>2005</v>
      </c>
      <c r="C82" s="130"/>
      <c r="D82" s="129"/>
      <c r="E82" s="129"/>
      <c r="F82" s="129"/>
      <c r="G82" s="129"/>
      <c r="H82" s="130"/>
      <c r="I82" s="130"/>
      <c r="J82" s="130"/>
      <c r="K82" s="129"/>
      <c r="L82" s="129"/>
      <c r="M82" s="129"/>
      <c r="N82" s="129"/>
      <c r="O82" s="130"/>
      <c r="P82" s="130"/>
      <c r="Q82" s="130"/>
      <c r="R82" s="130"/>
      <c r="S82" s="189"/>
      <c r="T82" s="213"/>
      <c r="U82" s="189"/>
      <c r="V82" s="189"/>
      <c r="W82" s="214"/>
      <c r="X82" s="189"/>
      <c r="Y82" s="215"/>
      <c r="Z82" s="55">
        <v>15317</v>
      </c>
      <c r="AA82" s="438">
        <v>10021</v>
      </c>
      <c r="AB82" s="55">
        <v>23833</v>
      </c>
      <c r="AC82" s="438">
        <v>4970</v>
      </c>
      <c r="AD82" s="55">
        <v>4849</v>
      </c>
      <c r="AE82" s="438">
        <v>8431</v>
      </c>
      <c r="AF82" s="55">
        <v>5040</v>
      </c>
      <c r="AG82" s="438">
        <v>1988</v>
      </c>
      <c r="AH82" s="436">
        <v>13421</v>
      </c>
      <c r="AI82" s="7"/>
      <c r="AJ82" s="7"/>
      <c r="AK82" s="7"/>
      <c r="AL82" s="7"/>
      <c r="AM82" s="7"/>
      <c r="AN82" s="7"/>
      <c r="AO82" s="7"/>
      <c r="AP82" s="7"/>
      <c r="AQ82" s="7"/>
      <c r="AR82" s="7"/>
      <c r="AS82" s="7"/>
      <c r="AT82" s="7"/>
      <c r="AU82" s="7"/>
      <c r="AV82" s="7"/>
      <c r="AW82" s="31"/>
    </row>
    <row r="83" spans="1:49" s="3" customFormat="1" ht="15.75" x14ac:dyDescent="0.2">
      <c r="A83" s="148"/>
      <c r="B83" s="129">
        <v>2007</v>
      </c>
      <c r="C83" s="130"/>
      <c r="D83" s="129"/>
      <c r="E83" s="129"/>
      <c r="F83" s="129"/>
      <c r="G83" s="129"/>
      <c r="H83" s="130"/>
      <c r="I83" s="130"/>
      <c r="J83" s="130"/>
      <c r="K83" s="129"/>
      <c r="L83" s="129"/>
      <c r="M83" s="129"/>
      <c r="N83" s="129"/>
      <c r="O83" s="130"/>
      <c r="P83" s="130"/>
      <c r="Q83" s="130"/>
      <c r="R83" s="130"/>
      <c r="S83" s="189"/>
      <c r="T83" s="213"/>
      <c r="U83" s="189"/>
      <c r="V83" s="189"/>
      <c r="W83" s="214"/>
      <c r="X83" s="189"/>
      <c r="Y83" s="215"/>
      <c r="Z83" s="55">
        <v>16192</v>
      </c>
      <c r="AA83" s="438">
        <v>10297</v>
      </c>
      <c r="AB83" s="55">
        <v>24025</v>
      </c>
      <c r="AC83" s="438">
        <v>4939</v>
      </c>
      <c r="AD83" s="55">
        <v>4690</v>
      </c>
      <c r="AE83" s="438">
        <v>8181</v>
      </c>
      <c r="AF83" s="55">
        <v>5079</v>
      </c>
      <c r="AG83" s="438">
        <v>1937</v>
      </c>
      <c r="AH83" s="436">
        <v>13942</v>
      </c>
      <c r="AI83" s="7"/>
      <c r="AJ83" s="7"/>
      <c r="AK83" s="7"/>
      <c r="AL83" s="7"/>
      <c r="AM83" s="7"/>
      <c r="AN83" s="7"/>
      <c r="AO83" s="7"/>
      <c r="AP83" s="7"/>
      <c r="AQ83" s="7"/>
      <c r="AR83" s="7"/>
      <c r="AS83" s="7"/>
      <c r="AT83" s="7"/>
      <c r="AU83" s="7"/>
      <c r="AV83" s="7"/>
      <c r="AW83" s="31"/>
    </row>
    <row r="84" spans="1:49" s="3" customFormat="1" ht="15.75" x14ac:dyDescent="0.2">
      <c r="A84" s="148"/>
      <c r="B84" s="129">
        <v>2008</v>
      </c>
      <c r="C84" s="130"/>
      <c r="D84" s="129"/>
      <c r="E84" s="129"/>
      <c r="F84" s="129"/>
      <c r="G84" s="129"/>
      <c r="H84" s="130"/>
      <c r="I84" s="130"/>
      <c r="J84" s="130"/>
      <c r="K84" s="129"/>
      <c r="L84" s="129"/>
      <c r="M84" s="129"/>
      <c r="N84" s="129"/>
      <c r="O84" s="130"/>
      <c r="P84" s="130"/>
      <c r="Q84" s="130"/>
      <c r="R84" s="130"/>
      <c r="S84" s="189"/>
      <c r="T84" s="213"/>
      <c r="U84" s="189"/>
      <c r="V84" s="189"/>
      <c r="W84" s="214"/>
      <c r="X84" s="189"/>
      <c r="Y84" s="215"/>
      <c r="Z84" s="55">
        <v>13454</v>
      </c>
      <c r="AA84" s="438">
        <v>4042</v>
      </c>
      <c r="AB84" s="55">
        <v>3865</v>
      </c>
      <c r="AC84" s="438">
        <v>2199</v>
      </c>
      <c r="AD84" s="55">
        <v>2165</v>
      </c>
      <c r="AE84" s="439">
        <v>454</v>
      </c>
      <c r="AF84" s="55">
        <v>1058</v>
      </c>
      <c r="AG84" s="439">
        <v>335</v>
      </c>
      <c r="AH84" s="436">
        <v>1488</v>
      </c>
      <c r="AI84" s="7"/>
      <c r="AJ84" s="7"/>
      <c r="AK84" s="7"/>
      <c r="AL84" s="7"/>
      <c r="AM84" s="7"/>
      <c r="AN84" s="7"/>
      <c r="AO84" s="7"/>
      <c r="AP84" s="7"/>
      <c r="AQ84" s="7"/>
      <c r="AR84" s="7"/>
      <c r="AS84" s="7"/>
      <c r="AT84" s="7"/>
      <c r="AU84" s="7"/>
      <c r="AV84" s="7"/>
      <c r="AW84" s="31"/>
    </row>
    <row r="85" spans="1:49" s="3" customFormat="1" ht="15.75" x14ac:dyDescent="0.2">
      <c r="A85" s="148"/>
      <c r="B85" s="129">
        <v>2009</v>
      </c>
      <c r="C85" s="130"/>
      <c r="D85" s="129"/>
      <c r="E85" s="129"/>
      <c r="F85" s="129"/>
      <c r="G85" s="129"/>
      <c r="H85" s="130"/>
      <c r="I85" s="130"/>
      <c r="J85" s="130"/>
      <c r="K85" s="129"/>
      <c r="L85" s="129"/>
      <c r="M85" s="129"/>
      <c r="N85" s="129"/>
      <c r="O85" s="130"/>
      <c r="P85" s="130"/>
      <c r="Q85" s="130"/>
      <c r="R85" s="130"/>
      <c r="S85" s="189"/>
      <c r="T85" s="213"/>
      <c r="U85" s="189"/>
      <c r="V85" s="189"/>
      <c r="W85" s="214"/>
      <c r="X85" s="189"/>
      <c r="Y85" s="215"/>
      <c r="Z85" s="55">
        <v>16816</v>
      </c>
      <c r="AA85" s="438">
        <v>9958</v>
      </c>
      <c r="AB85" s="438">
        <v>23142</v>
      </c>
      <c r="AC85" s="436">
        <v>4958</v>
      </c>
      <c r="AD85" s="55">
        <v>4507</v>
      </c>
      <c r="AE85" s="438">
        <v>7866</v>
      </c>
      <c r="AF85" s="55">
        <v>5169</v>
      </c>
      <c r="AG85" s="438">
        <v>1958</v>
      </c>
      <c r="AH85" s="436">
        <v>14546</v>
      </c>
      <c r="AI85" s="7"/>
      <c r="AJ85" s="7"/>
      <c r="AK85" s="7"/>
      <c r="AL85" s="7"/>
      <c r="AM85" s="7"/>
      <c r="AN85" s="7"/>
      <c r="AO85" s="7"/>
      <c r="AP85" s="7"/>
      <c r="AQ85" s="7"/>
      <c r="AR85" s="7"/>
      <c r="AS85" s="7"/>
      <c r="AT85" s="7"/>
      <c r="AU85" s="7"/>
      <c r="AV85" s="7"/>
      <c r="AW85" s="31"/>
    </row>
    <row r="86" spans="1:49" s="3" customFormat="1" ht="15.75" x14ac:dyDescent="0.2">
      <c r="A86" s="148"/>
      <c r="B86" s="129">
        <v>2010</v>
      </c>
      <c r="C86" s="130"/>
      <c r="D86" s="129"/>
      <c r="E86" s="129"/>
      <c r="F86" s="129"/>
      <c r="G86" s="129"/>
      <c r="H86" s="130"/>
      <c r="I86" s="130"/>
      <c r="J86" s="130"/>
      <c r="K86" s="129"/>
      <c r="L86" s="129"/>
      <c r="M86" s="129"/>
      <c r="N86" s="129"/>
      <c r="O86" s="130"/>
      <c r="P86" s="130"/>
      <c r="Q86" s="130"/>
      <c r="R86" s="130"/>
      <c r="S86" s="189"/>
      <c r="T86" s="213"/>
      <c r="U86" s="189"/>
      <c r="V86" s="189"/>
      <c r="W86" s="214"/>
      <c r="X86" s="189"/>
      <c r="Y86" s="215"/>
      <c r="Z86" s="440">
        <v>16684</v>
      </c>
      <c r="AA86" s="436">
        <v>9266</v>
      </c>
      <c r="AB86" s="438">
        <v>23928</v>
      </c>
      <c r="AC86" s="438">
        <v>4848</v>
      </c>
      <c r="AD86" s="436">
        <v>4615</v>
      </c>
      <c r="AE86" s="438">
        <v>7744</v>
      </c>
      <c r="AF86" s="438">
        <v>4744</v>
      </c>
      <c r="AG86" s="438">
        <v>1468</v>
      </c>
      <c r="AH86" s="438">
        <v>13477</v>
      </c>
      <c r="AI86" s="7"/>
      <c r="AJ86" s="7"/>
      <c r="AK86" s="7"/>
      <c r="AL86" s="7"/>
      <c r="AM86" s="7"/>
      <c r="AN86" s="7"/>
      <c r="AO86" s="7"/>
      <c r="AP86" s="7"/>
      <c r="AQ86" s="7"/>
      <c r="AR86" s="7"/>
      <c r="AS86" s="7"/>
      <c r="AT86" s="7"/>
      <c r="AU86" s="7"/>
      <c r="AV86" s="7"/>
      <c r="AW86" s="31"/>
    </row>
    <row r="87" spans="1:49" s="3" customFormat="1" ht="24" x14ac:dyDescent="0.2">
      <c r="A87" s="148">
        <v>17</v>
      </c>
      <c r="B87" s="129" t="s">
        <v>84</v>
      </c>
      <c r="C87" s="130" t="s">
        <v>486</v>
      </c>
      <c r="D87" s="129" t="s">
        <v>446</v>
      </c>
      <c r="E87" s="129" t="s">
        <v>477</v>
      </c>
      <c r="F87" s="129" t="s">
        <v>350</v>
      </c>
      <c r="G87" s="129" t="s">
        <v>279</v>
      </c>
      <c r="H87" s="130" t="s">
        <v>485</v>
      </c>
      <c r="I87" s="130" t="s">
        <v>479</v>
      </c>
      <c r="J87" s="130" t="s">
        <v>350</v>
      </c>
      <c r="K87" s="129" t="s">
        <v>350</v>
      </c>
      <c r="L87" s="129"/>
      <c r="M87" s="129" t="s">
        <v>285</v>
      </c>
      <c r="N87" s="129" t="s">
        <v>286</v>
      </c>
      <c r="O87" s="130" t="s">
        <v>480</v>
      </c>
      <c r="P87" s="130" t="s">
        <v>350</v>
      </c>
      <c r="Q87" s="130"/>
      <c r="R87" s="130"/>
      <c r="S87" s="189"/>
      <c r="T87" s="213"/>
      <c r="U87" s="189" t="s">
        <v>794</v>
      </c>
      <c r="V87" s="189"/>
      <c r="W87" s="214"/>
      <c r="X87" s="189"/>
      <c r="Y87" s="215"/>
      <c r="Z87" s="442"/>
      <c r="AA87" s="437"/>
      <c r="AB87" s="437"/>
      <c r="AC87" s="437"/>
      <c r="AD87" s="437"/>
      <c r="AE87" s="437"/>
      <c r="AF87" s="437"/>
      <c r="AG87" s="437"/>
      <c r="AH87" s="437"/>
      <c r="AI87" s="7"/>
      <c r="AJ87" s="7"/>
      <c r="AK87" s="7"/>
      <c r="AL87" s="7"/>
      <c r="AM87" s="7"/>
      <c r="AN87" s="7"/>
      <c r="AO87" s="7"/>
      <c r="AP87" s="7"/>
      <c r="AQ87" s="7"/>
      <c r="AR87" s="7"/>
      <c r="AS87" s="7"/>
      <c r="AT87" s="7"/>
      <c r="AU87" s="7"/>
      <c r="AV87" s="7"/>
      <c r="AW87" s="31"/>
    </row>
    <row r="88" spans="1:49" s="3" customFormat="1" ht="24" x14ac:dyDescent="0.2">
      <c r="A88" s="148">
        <v>18</v>
      </c>
      <c r="B88" s="137" t="s">
        <v>248</v>
      </c>
      <c r="C88" s="141" t="s">
        <v>487</v>
      </c>
      <c r="D88" s="137" t="s">
        <v>446</v>
      </c>
      <c r="E88" s="137" t="s">
        <v>477</v>
      </c>
      <c r="F88" s="137" t="s">
        <v>350</v>
      </c>
      <c r="G88" s="137" t="s">
        <v>279</v>
      </c>
      <c r="H88" s="141" t="s">
        <v>485</v>
      </c>
      <c r="I88" s="141" t="s">
        <v>479</v>
      </c>
      <c r="J88" s="141" t="s">
        <v>350</v>
      </c>
      <c r="K88" s="137" t="s">
        <v>350</v>
      </c>
      <c r="L88" s="137"/>
      <c r="M88" s="137" t="s">
        <v>285</v>
      </c>
      <c r="N88" s="137" t="s">
        <v>286</v>
      </c>
      <c r="O88" s="141" t="s">
        <v>480</v>
      </c>
      <c r="P88" s="141" t="s">
        <v>350</v>
      </c>
      <c r="Q88" s="141"/>
      <c r="R88" s="141" t="s">
        <v>1016</v>
      </c>
      <c r="S88" s="189" t="s">
        <v>794</v>
      </c>
      <c r="T88" s="213" t="s">
        <v>794</v>
      </c>
      <c r="U88" s="189"/>
      <c r="V88" s="189"/>
      <c r="W88" s="214"/>
      <c r="X88" s="189"/>
      <c r="Y88" s="215"/>
      <c r="Z88" s="442"/>
      <c r="AA88" s="437"/>
      <c r="AB88" s="437"/>
      <c r="AC88" s="437"/>
      <c r="AD88" s="437"/>
      <c r="AE88" s="437"/>
      <c r="AF88" s="437"/>
      <c r="AG88" s="437"/>
      <c r="AH88" s="437"/>
      <c r="AI88" s="7"/>
      <c r="AJ88" s="7"/>
      <c r="AK88" s="7"/>
      <c r="AL88" s="7"/>
      <c r="AM88" s="7"/>
      <c r="AN88" s="7"/>
      <c r="AO88" s="7"/>
      <c r="AP88" s="7"/>
      <c r="AQ88" s="7"/>
      <c r="AR88" s="7"/>
      <c r="AS88" s="7"/>
      <c r="AT88" s="7"/>
      <c r="AU88" s="7"/>
      <c r="AV88" s="7"/>
      <c r="AW88" s="31"/>
    </row>
    <row r="89" spans="1:49" s="3" customFormat="1" ht="15.75" x14ac:dyDescent="0.2">
      <c r="A89" s="148"/>
      <c r="B89" s="137">
        <v>1998</v>
      </c>
      <c r="C89" s="141"/>
      <c r="D89" s="137"/>
      <c r="E89" s="137"/>
      <c r="F89" s="137"/>
      <c r="G89" s="137"/>
      <c r="H89" s="141"/>
      <c r="I89" s="141"/>
      <c r="J89" s="141"/>
      <c r="K89" s="137"/>
      <c r="L89" s="137"/>
      <c r="M89" s="137"/>
      <c r="N89" s="137"/>
      <c r="O89" s="141"/>
      <c r="P89" s="141"/>
      <c r="Q89" s="141"/>
      <c r="R89" s="141"/>
      <c r="S89" s="189"/>
      <c r="T89" s="213"/>
      <c r="U89" s="189"/>
      <c r="V89" s="189"/>
      <c r="W89" s="214"/>
      <c r="X89" s="189"/>
      <c r="Y89" s="215"/>
      <c r="Z89" s="443">
        <v>9.3000000000000007</v>
      </c>
      <c r="AA89" s="441">
        <v>9</v>
      </c>
      <c r="AB89" s="441">
        <v>23.6</v>
      </c>
      <c r="AC89" s="441">
        <v>19</v>
      </c>
      <c r="AD89" s="441">
        <v>14</v>
      </c>
      <c r="AE89" s="441">
        <v>15.7</v>
      </c>
      <c r="AF89" s="441">
        <v>17.3</v>
      </c>
      <c r="AG89" s="441">
        <v>14.3</v>
      </c>
      <c r="AH89" s="441">
        <v>20.5</v>
      </c>
      <c r="AI89" s="7"/>
      <c r="AJ89" s="7"/>
      <c r="AK89" s="7"/>
      <c r="AL89" s="7"/>
      <c r="AM89" s="7"/>
      <c r="AN89" s="7"/>
      <c r="AO89" s="7"/>
      <c r="AP89" s="7"/>
      <c r="AQ89" s="7"/>
      <c r="AR89" s="7"/>
      <c r="AS89" s="7"/>
      <c r="AT89" s="7"/>
      <c r="AU89" s="7"/>
      <c r="AV89" s="7"/>
      <c r="AW89" s="31"/>
    </row>
    <row r="90" spans="1:49" s="3" customFormat="1" ht="15.75" x14ac:dyDescent="0.2">
      <c r="A90" s="148"/>
      <c r="B90" s="137">
        <v>2003</v>
      </c>
      <c r="C90" s="141"/>
      <c r="D90" s="137"/>
      <c r="E90" s="137"/>
      <c r="F90" s="137"/>
      <c r="G90" s="137"/>
      <c r="H90" s="141"/>
      <c r="I90" s="141"/>
      <c r="J90" s="141"/>
      <c r="K90" s="137"/>
      <c r="L90" s="137"/>
      <c r="M90" s="137"/>
      <c r="N90" s="137"/>
      <c r="O90" s="141"/>
      <c r="P90" s="141"/>
      <c r="Q90" s="141"/>
      <c r="R90" s="141"/>
      <c r="S90" s="189"/>
      <c r="T90" s="213"/>
      <c r="U90" s="189"/>
      <c r="V90" s="189"/>
      <c r="W90" s="214"/>
      <c r="X90" s="189"/>
      <c r="Y90" s="215"/>
      <c r="Z90" s="443">
        <v>9.4</v>
      </c>
      <c r="AA90" s="441">
        <v>13.6</v>
      </c>
      <c r="AB90" s="441">
        <v>3</v>
      </c>
      <c r="AC90" s="441">
        <v>21.1</v>
      </c>
      <c r="AD90" s="441">
        <v>15.3</v>
      </c>
      <c r="AE90" s="441">
        <v>10.1</v>
      </c>
      <c r="AF90" s="441">
        <v>12.3</v>
      </c>
      <c r="AG90" s="441">
        <v>10.6</v>
      </c>
      <c r="AH90" s="441">
        <v>11.6</v>
      </c>
      <c r="AI90" s="7"/>
      <c r="AJ90" s="7"/>
      <c r="AK90" s="7"/>
      <c r="AL90" s="7"/>
      <c r="AM90" s="7"/>
      <c r="AN90" s="7"/>
      <c r="AO90" s="7"/>
      <c r="AP90" s="7"/>
      <c r="AQ90" s="7"/>
      <c r="AR90" s="7"/>
      <c r="AS90" s="7"/>
      <c r="AT90" s="7"/>
      <c r="AU90" s="7"/>
      <c r="AV90" s="7"/>
      <c r="AW90" s="31"/>
    </row>
    <row r="91" spans="1:49" s="3" customFormat="1" ht="15.75" x14ac:dyDescent="0.2">
      <c r="A91" s="148"/>
      <c r="B91" s="137">
        <v>2006</v>
      </c>
      <c r="C91" s="141"/>
      <c r="D91" s="137"/>
      <c r="E91" s="137"/>
      <c r="F91" s="137"/>
      <c r="G91" s="137"/>
      <c r="H91" s="141"/>
      <c r="I91" s="141"/>
      <c r="J91" s="141"/>
      <c r="K91" s="137"/>
      <c r="L91" s="137"/>
      <c r="M91" s="137"/>
      <c r="N91" s="137"/>
      <c r="O91" s="141"/>
      <c r="P91" s="141"/>
      <c r="Q91" s="141"/>
      <c r="R91" s="141"/>
      <c r="S91" s="189"/>
      <c r="T91" s="213"/>
      <c r="U91" s="189"/>
      <c r="V91" s="189"/>
      <c r="W91" s="214"/>
      <c r="X91" s="189"/>
      <c r="Y91" s="215"/>
      <c r="Z91" s="443">
        <v>49.1</v>
      </c>
      <c r="AA91" s="441">
        <v>32.1</v>
      </c>
      <c r="AB91" s="441">
        <v>85.6</v>
      </c>
      <c r="AC91" s="441">
        <v>79</v>
      </c>
      <c r="AD91" s="441">
        <v>61</v>
      </c>
      <c r="AE91" s="441">
        <v>54.3</v>
      </c>
      <c r="AF91" s="441">
        <v>78.900000000000006</v>
      </c>
      <c r="AG91" s="441">
        <v>40.9</v>
      </c>
      <c r="AH91" s="441">
        <v>86.2</v>
      </c>
      <c r="AI91" s="7"/>
      <c r="AJ91" s="7"/>
      <c r="AK91" s="7"/>
      <c r="AL91" s="7"/>
      <c r="AM91" s="7"/>
      <c r="AN91" s="7"/>
      <c r="AO91" s="7"/>
      <c r="AP91" s="7"/>
      <c r="AQ91" s="7"/>
      <c r="AR91" s="7"/>
      <c r="AS91" s="7"/>
      <c r="AT91" s="7"/>
      <c r="AU91" s="7"/>
      <c r="AV91" s="7"/>
      <c r="AW91" s="31"/>
    </row>
    <row r="92" spans="1:49" s="3" customFormat="1" ht="15.75" x14ac:dyDescent="0.2">
      <c r="A92" s="148"/>
      <c r="B92" s="137">
        <v>2007</v>
      </c>
      <c r="C92" s="141"/>
      <c r="D92" s="137"/>
      <c r="E92" s="137"/>
      <c r="F92" s="137"/>
      <c r="G92" s="137"/>
      <c r="H92" s="141"/>
      <c r="I92" s="141"/>
      <c r="J92" s="141"/>
      <c r="K92" s="137"/>
      <c r="L92" s="137"/>
      <c r="M92" s="137"/>
      <c r="N92" s="137"/>
      <c r="O92" s="141"/>
      <c r="P92" s="141"/>
      <c r="Q92" s="141"/>
      <c r="R92" s="141"/>
      <c r="S92" s="189"/>
      <c r="T92" s="213"/>
      <c r="U92" s="189"/>
      <c r="V92" s="189"/>
      <c r="W92" s="214"/>
      <c r="X92" s="189"/>
      <c r="Y92" s="215"/>
      <c r="Z92" s="443">
        <v>48.4</v>
      </c>
      <c r="AA92" s="441">
        <v>30</v>
      </c>
      <c r="AB92" s="441">
        <v>81.599999999999994</v>
      </c>
      <c r="AC92" s="441">
        <v>74.8</v>
      </c>
      <c r="AD92" s="441">
        <v>54.1</v>
      </c>
      <c r="AE92" s="441">
        <v>50.2</v>
      </c>
      <c r="AF92" s="441">
        <v>75</v>
      </c>
      <c r="AG92" s="441">
        <v>41.2</v>
      </c>
      <c r="AH92" s="441">
        <v>82.1</v>
      </c>
      <c r="AI92" s="7"/>
      <c r="AJ92" s="7"/>
      <c r="AK92" s="7"/>
      <c r="AL92" s="7"/>
      <c r="AM92" s="7"/>
      <c r="AN92" s="7"/>
      <c r="AO92" s="7"/>
      <c r="AP92" s="7"/>
      <c r="AQ92" s="7"/>
      <c r="AR92" s="7"/>
      <c r="AS92" s="7"/>
      <c r="AT92" s="7"/>
      <c r="AU92" s="7"/>
      <c r="AV92" s="7"/>
      <c r="AW92" s="31"/>
    </row>
    <row r="93" spans="1:49" s="3" customFormat="1" ht="15.75" x14ac:dyDescent="0.2">
      <c r="A93" s="148"/>
      <c r="B93" s="137">
        <v>2008</v>
      </c>
      <c r="C93" s="141"/>
      <c r="D93" s="137"/>
      <c r="E93" s="137"/>
      <c r="F93" s="137"/>
      <c r="G93" s="137"/>
      <c r="H93" s="141"/>
      <c r="I93" s="141"/>
      <c r="J93" s="141"/>
      <c r="K93" s="137"/>
      <c r="L93" s="137"/>
      <c r="M93" s="137"/>
      <c r="N93" s="137"/>
      <c r="O93" s="141"/>
      <c r="P93" s="141"/>
      <c r="Q93" s="141"/>
      <c r="R93" s="141"/>
      <c r="S93" s="189"/>
      <c r="T93" s="213"/>
      <c r="U93" s="189"/>
      <c r="V93" s="189"/>
      <c r="W93" s="214"/>
      <c r="X93" s="189"/>
      <c r="Y93" s="215"/>
      <c r="Z93" s="443">
        <v>41.9</v>
      </c>
      <c r="AA93" s="441">
        <v>28.4</v>
      </c>
      <c r="AB93" s="441">
        <v>73.8</v>
      </c>
      <c r="AC93" s="441">
        <v>69.400000000000006</v>
      </c>
      <c r="AD93" s="441">
        <v>48.3</v>
      </c>
      <c r="AE93" s="441">
        <v>43.4</v>
      </c>
      <c r="AF93" s="441">
        <v>68.7</v>
      </c>
      <c r="AG93" s="441">
        <v>39.4</v>
      </c>
      <c r="AH93" s="441">
        <v>76.7</v>
      </c>
      <c r="AI93" s="7"/>
      <c r="AJ93" s="7"/>
      <c r="AK93" s="7"/>
      <c r="AL93" s="7"/>
      <c r="AM93" s="7"/>
      <c r="AN93" s="7"/>
      <c r="AO93" s="7"/>
      <c r="AP93" s="7"/>
      <c r="AQ93" s="7"/>
      <c r="AR93" s="7"/>
      <c r="AS93" s="7"/>
      <c r="AT93" s="7"/>
      <c r="AU93" s="7"/>
      <c r="AV93" s="7"/>
      <c r="AW93" s="31"/>
    </row>
    <row r="94" spans="1:49" s="3" customFormat="1" ht="15.75" x14ac:dyDescent="0.2">
      <c r="A94" s="148"/>
      <c r="B94" s="137">
        <v>2009</v>
      </c>
      <c r="C94" s="141"/>
      <c r="D94" s="137"/>
      <c r="E94" s="137"/>
      <c r="F94" s="137"/>
      <c r="G94" s="137"/>
      <c r="H94" s="141"/>
      <c r="I94" s="141"/>
      <c r="J94" s="141"/>
      <c r="K94" s="137"/>
      <c r="L94" s="137"/>
      <c r="M94" s="137"/>
      <c r="N94" s="137"/>
      <c r="O94" s="141"/>
      <c r="P94" s="141"/>
      <c r="Q94" s="141"/>
      <c r="R94" s="141"/>
      <c r="S94" s="189"/>
      <c r="T94" s="213"/>
      <c r="U94" s="189"/>
      <c r="V94" s="189"/>
      <c r="W94" s="214"/>
      <c r="X94" s="189"/>
      <c r="Y94" s="215"/>
      <c r="Z94" s="443">
        <v>37.9</v>
      </c>
      <c r="AA94" s="441">
        <v>27.7</v>
      </c>
      <c r="AB94" s="441">
        <v>66.8</v>
      </c>
      <c r="AC94" s="441">
        <v>63.4</v>
      </c>
      <c r="AD94" s="441">
        <v>45.5</v>
      </c>
      <c r="AE94" s="441">
        <v>40.299999999999997</v>
      </c>
      <c r="AF94" s="441">
        <v>61.9</v>
      </c>
      <c r="AG94" s="441">
        <v>38.700000000000003</v>
      </c>
      <c r="AH94" s="441">
        <v>71.099999999999994</v>
      </c>
      <c r="AI94" s="7"/>
      <c r="AJ94" s="7"/>
      <c r="AK94" s="7"/>
      <c r="AL94" s="7"/>
      <c r="AM94" s="7"/>
      <c r="AN94" s="7"/>
      <c r="AO94" s="7"/>
      <c r="AP94" s="7"/>
      <c r="AQ94" s="7"/>
      <c r="AR94" s="7"/>
      <c r="AS94" s="7"/>
      <c r="AT94" s="7"/>
      <c r="AU94" s="7"/>
      <c r="AV94" s="7"/>
      <c r="AW94" s="31"/>
    </row>
    <row r="95" spans="1:49" s="3" customFormat="1" ht="15.75" x14ac:dyDescent="0.2">
      <c r="A95" s="148"/>
      <c r="B95" s="137">
        <v>2010</v>
      </c>
      <c r="C95" s="141"/>
      <c r="D95" s="137"/>
      <c r="E95" s="137"/>
      <c r="F95" s="137"/>
      <c r="G95" s="137"/>
      <c r="H95" s="141"/>
      <c r="I95" s="141"/>
      <c r="J95" s="141"/>
      <c r="K95" s="137"/>
      <c r="L95" s="137"/>
      <c r="M95" s="137"/>
      <c r="N95" s="137"/>
      <c r="O95" s="141"/>
      <c r="P95" s="141"/>
      <c r="Q95" s="141"/>
      <c r="R95" s="141"/>
      <c r="S95" s="189"/>
      <c r="T95" s="213"/>
      <c r="U95" s="189"/>
      <c r="V95" s="189"/>
      <c r="W95" s="214"/>
      <c r="X95" s="189"/>
      <c r="Y95" s="215"/>
      <c r="Z95" s="443">
        <v>38</v>
      </c>
      <c r="AA95" s="441">
        <v>27.4</v>
      </c>
      <c r="AB95" s="441">
        <v>64.5</v>
      </c>
      <c r="AC95" s="441">
        <v>60.2</v>
      </c>
      <c r="AD95" s="441">
        <v>45.9</v>
      </c>
      <c r="AE95" s="441">
        <v>40.6</v>
      </c>
      <c r="AF95" s="441">
        <v>57.7</v>
      </c>
      <c r="AG95" s="441">
        <v>38.200000000000003</v>
      </c>
      <c r="AH95" s="441">
        <v>27.7</v>
      </c>
      <c r="AI95" s="7"/>
      <c r="AJ95" s="7"/>
      <c r="AK95" s="7"/>
      <c r="AL95" s="7"/>
      <c r="AM95" s="7"/>
      <c r="AN95" s="7"/>
      <c r="AO95" s="7"/>
      <c r="AP95" s="7"/>
      <c r="AQ95" s="7"/>
      <c r="AR95" s="7"/>
      <c r="AS95" s="7"/>
      <c r="AT95" s="7"/>
      <c r="AU95" s="7"/>
      <c r="AV95" s="7"/>
      <c r="AW95" s="31"/>
    </row>
    <row r="96" spans="1:49" s="3" customFormat="1" ht="15.75" x14ac:dyDescent="0.2">
      <c r="A96" s="148"/>
      <c r="B96" s="137">
        <v>2011</v>
      </c>
      <c r="C96" s="141"/>
      <c r="D96" s="137"/>
      <c r="E96" s="137"/>
      <c r="F96" s="137"/>
      <c r="G96" s="137"/>
      <c r="H96" s="141"/>
      <c r="I96" s="141"/>
      <c r="J96" s="141"/>
      <c r="K96" s="137"/>
      <c r="L96" s="137"/>
      <c r="M96" s="137"/>
      <c r="N96" s="137"/>
      <c r="O96" s="141"/>
      <c r="P96" s="141"/>
      <c r="Q96" s="141"/>
      <c r="R96" s="141"/>
      <c r="S96" s="189"/>
      <c r="T96" s="213"/>
      <c r="U96" s="189"/>
      <c r="V96" s="189"/>
      <c r="W96" s="214"/>
      <c r="X96" s="189"/>
      <c r="Y96" s="215"/>
      <c r="Z96" s="443">
        <v>37.1</v>
      </c>
      <c r="AA96" s="441">
        <v>26.5</v>
      </c>
      <c r="AB96" s="441">
        <v>62.7</v>
      </c>
      <c r="AC96" s="441">
        <v>58</v>
      </c>
      <c r="AD96" s="441">
        <v>44.9</v>
      </c>
      <c r="AE96" s="441">
        <v>39.9</v>
      </c>
      <c r="AF96" s="441">
        <v>54.7</v>
      </c>
      <c r="AG96" s="441">
        <v>36.799999999999997</v>
      </c>
      <c r="AH96" s="441">
        <v>65.3</v>
      </c>
      <c r="AI96" s="7"/>
      <c r="AJ96" s="7"/>
      <c r="AK96" s="7"/>
      <c r="AL96" s="7"/>
      <c r="AM96" s="7"/>
      <c r="AN96" s="7"/>
      <c r="AO96" s="7"/>
      <c r="AP96" s="7"/>
      <c r="AQ96" s="7"/>
      <c r="AR96" s="7"/>
      <c r="AS96" s="7"/>
      <c r="AT96" s="7"/>
      <c r="AU96" s="7"/>
      <c r="AV96" s="7"/>
      <c r="AW96" s="31"/>
    </row>
    <row r="97" spans="1:52" s="3" customFormat="1" ht="15.75" x14ac:dyDescent="0.2">
      <c r="A97" s="148"/>
      <c r="B97" s="137">
        <v>2012</v>
      </c>
      <c r="C97" s="141"/>
      <c r="D97" s="137"/>
      <c r="E97" s="137"/>
      <c r="F97" s="137"/>
      <c r="G97" s="137"/>
      <c r="H97" s="141"/>
      <c r="I97" s="141"/>
      <c r="J97" s="141"/>
      <c r="K97" s="137"/>
      <c r="L97" s="137"/>
      <c r="M97" s="137"/>
      <c r="N97" s="137"/>
      <c r="O97" s="141"/>
      <c r="P97" s="141"/>
      <c r="Q97" s="141"/>
      <c r="R97" s="141"/>
      <c r="S97" s="189"/>
      <c r="T97" s="213"/>
      <c r="U97" s="189"/>
      <c r="V97" s="189"/>
      <c r="W97" s="214"/>
      <c r="X97" s="189"/>
      <c r="Y97" s="215"/>
      <c r="Z97" s="443">
        <v>36.200000000000003</v>
      </c>
      <c r="AA97" s="441">
        <v>25.6</v>
      </c>
      <c r="AB97" s="441">
        <v>61.3</v>
      </c>
      <c r="AC97" s="441">
        <v>56.5</v>
      </c>
      <c r="AD97" s="441">
        <v>43.7</v>
      </c>
      <c r="AE97" s="441">
        <v>39.1</v>
      </c>
      <c r="AF97" s="441">
        <v>52.7</v>
      </c>
      <c r="AG97" s="441">
        <v>35.4</v>
      </c>
      <c r="AH97" s="441">
        <v>63.4</v>
      </c>
      <c r="AI97" s="7"/>
      <c r="AJ97" s="7"/>
      <c r="AK97" s="7"/>
      <c r="AL97" s="7"/>
      <c r="AM97" s="7"/>
      <c r="AN97" s="7"/>
      <c r="AO97" s="7"/>
      <c r="AP97" s="7"/>
      <c r="AQ97" s="7"/>
      <c r="AR97" s="7"/>
      <c r="AS97" s="7"/>
      <c r="AT97" s="7"/>
      <c r="AU97" s="7"/>
      <c r="AV97" s="7"/>
      <c r="AW97" s="31"/>
    </row>
    <row r="98" spans="1:52" s="3" customFormat="1" ht="24" x14ac:dyDescent="0.2">
      <c r="A98" s="148">
        <v>19</v>
      </c>
      <c r="B98" s="129" t="s">
        <v>85</v>
      </c>
      <c r="C98" s="130" t="s">
        <v>488</v>
      </c>
      <c r="D98" s="129" t="s">
        <v>446</v>
      </c>
      <c r="E98" s="129" t="s">
        <v>477</v>
      </c>
      <c r="F98" s="129" t="s">
        <v>350</v>
      </c>
      <c r="G98" s="129" t="s">
        <v>279</v>
      </c>
      <c r="H98" s="130" t="s">
        <v>485</v>
      </c>
      <c r="I98" s="130" t="s">
        <v>479</v>
      </c>
      <c r="J98" s="130" t="s">
        <v>350</v>
      </c>
      <c r="K98" s="129" t="s">
        <v>350</v>
      </c>
      <c r="L98" s="129"/>
      <c r="M98" s="129" t="s">
        <v>285</v>
      </c>
      <c r="N98" s="129" t="s">
        <v>286</v>
      </c>
      <c r="O98" s="130" t="s">
        <v>480</v>
      </c>
      <c r="P98" s="130" t="s">
        <v>350</v>
      </c>
      <c r="Q98" s="130"/>
      <c r="R98" s="141" t="s">
        <v>953</v>
      </c>
      <c r="S98" s="189"/>
      <c r="T98" s="213"/>
      <c r="U98" s="189" t="s">
        <v>794</v>
      </c>
      <c r="V98" s="189"/>
      <c r="W98" s="214"/>
      <c r="X98" s="189"/>
      <c r="Y98" s="215"/>
      <c r="Z98" s="152"/>
      <c r="AA98" s="7"/>
      <c r="AB98" s="7"/>
      <c r="AC98" s="7"/>
      <c r="AD98" s="7"/>
      <c r="AE98" s="7"/>
      <c r="AF98" s="7"/>
      <c r="AG98" s="7"/>
      <c r="AH98" s="7"/>
      <c r="AI98" s="7"/>
      <c r="AJ98" s="7"/>
      <c r="AK98" s="7"/>
      <c r="AL98" s="7"/>
      <c r="AM98" s="7"/>
      <c r="AN98" s="7"/>
      <c r="AO98" s="7"/>
      <c r="AP98" s="7"/>
      <c r="AQ98" s="7"/>
      <c r="AR98" s="7"/>
      <c r="AS98" s="7"/>
      <c r="AT98" s="7"/>
      <c r="AU98" s="7"/>
      <c r="AV98" s="7"/>
      <c r="AW98" s="31"/>
    </row>
    <row r="99" spans="1:52" s="3" customFormat="1" ht="15.75" x14ac:dyDescent="0.2">
      <c r="A99" s="148"/>
      <c r="B99" s="129"/>
      <c r="C99" s="130"/>
      <c r="D99" s="129"/>
      <c r="E99" s="129"/>
      <c r="F99" s="129"/>
      <c r="G99" s="129"/>
      <c r="H99" s="130"/>
      <c r="I99" s="130"/>
      <c r="J99" s="130"/>
      <c r="K99" s="129"/>
      <c r="L99" s="129"/>
      <c r="M99" s="129"/>
      <c r="N99" s="129"/>
      <c r="O99" s="130"/>
      <c r="P99" s="130"/>
      <c r="Q99" s="130"/>
      <c r="R99" s="130"/>
      <c r="S99" s="189"/>
      <c r="T99" s="213"/>
      <c r="U99" s="189"/>
      <c r="V99" s="189"/>
      <c r="W99" s="214"/>
      <c r="X99" s="189"/>
      <c r="Y99" s="215"/>
      <c r="Z99" s="152"/>
      <c r="AA99" s="7"/>
      <c r="AB99" s="7"/>
      <c r="AC99" s="7"/>
      <c r="AD99" s="7"/>
      <c r="AE99" s="7"/>
      <c r="AF99" s="7"/>
      <c r="AG99" s="7"/>
      <c r="AH99" s="7"/>
      <c r="AI99" s="7"/>
      <c r="AJ99" s="7"/>
      <c r="AK99" s="7"/>
      <c r="AL99" s="7"/>
      <c r="AM99" s="7"/>
      <c r="AN99" s="7"/>
      <c r="AO99" s="7"/>
      <c r="AP99" s="7"/>
      <c r="AQ99" s="7"/>
      <c r="AR99" s="7"/>
      <c r="AS99" s="7"/>
      <c r="AT99" s="7"/>
      <c r="AU99" s="7"/>
      <c r="AV99" s="7"/>
      <c r="AW99" s="31"/>
    </row>
    <row r="100" spans="1:52" s="3" customFormat="1" ht="60" x14ac:dyDescent="0.2">
      <c r="A100" s="148">
        <v>20</v>
      </c>
      <c r="B100" s="137" t="s">
        <v>86</v>
      </c>
      <c r="C100" s="141" t="s">
        <v>489</v>
      </c>
      <c r="D100" s="137" t="s">
        <v>446</v>
      </c>
      <c r="E100" s="137" t="s">
        <v>490</v>
      </c>
      <c r="F100" s="137" t="s">
        <v>350</v>
      </c>
      <c r="G100" s="137" t="s">
        <v>279</v>
      </c>
      <c r="H100" s="141" t="s">
        <v>881</v>
      </c>
      <c r="I100" s="141" t="s">
        <v>336</v>
      </c>
      <c r="J100" s="141" t="s">
        <v>350</v>
      </c>
      <c r="K100" s="137" t="s">
        <v>350</v>
      </c>
      <c r="L100" s="137"/>
      <c r="M100" s="137" t="s">
        <v>285</v>
      </c>
      <c r="N100" s="137" t="s">
        <v>286</v>
      </c>
      <c r="O100" s="141" t="s">
        <v>409</v>
      </c>
      <c r="P100" s="141" t="s">
        <v>350</v>
      </c>
      <c r="Q100" s="141"/>
      <c r="R100" s="141" t="s">
        <v>958</v>
      </c>
      <c r="S100" s="189" t="s">
        <v>794</v>
      </c>
      <c r="T100" s="213" t="s">
        <v>794</v>
      </c>
      <c r="U100" s="189"/>
      <c r="V100" s="189"/>
      <c r="W100" s="214"/>
      <c r="X100" s="189"/>
      <c r="Y100" s="215"/>
      <c r="Z100" s="711">
        <v>2001</v>
      </c>
      <c r="AA100" s="712">
        <v>2007</v>
      </c>
      <c r="AB100" s="7"/>
      <c r="AC100" s="7"/>
      <c r="AD100" s="7"/>
      <c r="AE100" s="7"/>
      <c r="AF100" s="7"/>
      <c r="AG100" s="7"/>
      <c r="AH100" s="7"/>
      <c r="AI100" s="7"/>
      <c r="AJ100" s="7"/>
      <c r="AK100" s="7"/>
      <c r="AL100" s="7"/>
      <c r="AM100" s="7"/>
      <c r="AN100" s="7"/>
      <c r="AO100" s="7"/>
      <c r="AP100" s="7"/>
      <c r="AQ100" s="7"/>
      <c r="AR100" s="7"/>
      <c r="AS100" s="7"/>
      <c r="AT100" s="7"/>
      <c r="AU100" s="7"/>
      <c r="AV100" s="7"/>
      <c r="AW100" s="31"/>
    </row>
    <row r="101" spans="1:52" s="3" customFormat="1" ht="15.75" x14ac:dyDescent="0.2">
      <c r="A101" s="148"/>
      <c r="B101" s="269" t="s">
        <v>3</v>
      </c>
      <c r="C101" s="141"/>
      <c r="D101" s="137"/>
      <c r="E101" s="137"/>
      <c r="F101" s="137"/>
      <c r="G101" s="137"/>
      <c r="H101" s="141"/>
      <c r="I101" s="141"/>
      <c r="J101" s="141"/>
      <c r="K101" s="137"/>
      <c r="L101" s="137"/>
      <c r="M101" s="137"/>
      <c r="N101" s="137"/>
      <c r="O101" s="141"/>
      <c r="P101" s="141"/>
      <c r="Q101" s="141"/>
      <c r="R101" s="141"/>
      <c r="S101" s="189"/>
      <c r="T101" s="213"/>
      <c r="U101" s="189"/>
      <c r="V101" s="189"/>
      <c r="W101" s="214"/>
      <c r="X101" s="189"/>
      <c r="Y101" s="215"/>
      <c r="Z101" s="239" t="s">
        <v>26</v>
      </c>
      <c r="AA101" s="7">
        <v>6.4</v>
      </c>
      <c r="AB101" s="7"/>
      <c r="AC101" s="7"/>
      <c r="AD101" s="7"/>
      <c r="AE101" s="7"/>
      <c r="AF101" s="7"/>
      <c r="AG101" s="7"/>
      <c r="AH101" s="7"/>
      <c r="AI101" s="7"/>
      <c r="AJ101" s="7"/>
      <c r="AK101" s="7"/>
      <c r="AL101" s="7"/>
      <c r="AM101" s="7"/>
      <c r="AN101" s="7"/>
      <c r="AO101" s="7"/>
      <c r="AP101" s="7"/>
      <c r="AQ101" s="7"/>
      <c r="AR101" s="7"/>
      <c r="AS101" s="7"/>
      <c r="AT101" s="7"/>
      <c r="AU101" s="7"/>
      <c r="AV101" s="7"/>
      <c r="AW101" s="31"/>
    </row>
    <row r="102" spans="1:52" s="3" customFormat="1" ht="15.75" x14ac:dyDescent="0.2">
      <c r="A102" s="148"/>
      <c r="B102" s="269" t="s">
        <v>4</v>
      </c>
      <c r="C102" s="141"/>
      <c r="D102" s="137"/>
      <c r="E102" s="137"/>
      <c r="F102" s="137"/>
      <c r="G102" s="137"/>
      <c r="H102" s="141"/>
      <c r="I102" s="141"/>
      <c r="J102" s="141"/>
      <c r="K102" s="137"/>
      <c r="L102" s="137"/>
      <c r="M102" s="137"/>
      <c r="N102" s="137"/>
      <c r="O102" s="141"/>
      <c r="P102" s="141"/>
      <c r="Q102" s="141"/>
      <c r="R102" s="141"/>
      <c r="S102" s="189"/>
      <c r="T102" s="213"/>
      <c r="U102" s="189"/>
      <c r="V102" s="189"/>
      <c r="W102" s="214"/>
      <c r="X102" s="189"/>
      <c r="Y102" s="215"/>
      <c r="Z102" s="239" t="s">
        <v>26</v>
      </c>
      <c r="AA102" s="7">
        <v>5.4</v>
      </c>
      <c r="AB102" s="7"/>
      <c r="AC102" s="7"/>
      <c r="AD102" s="7"/>
      <c r="AE102" s="7"/>
      <c r="AF102" s="7"/>
      <c r="AG102" s="7"/>
      <c r="AH102" s="7"/>
      <c r="AI102" s="7"/>
      <c r="AJ102" s="7"/>
      <c r="AK102" s="7"/>
      <c r="AL102" s="7"/>
      <c r="AM102" s="7"/>
      <c r="AN102" s="7"/>
      <c r="AO102" s="7"/>
      <c r="AP102" s="7"/>
      <c r="AQ102" s="7"/>
      <c r="AR102" s="7"/>
      <c r="AS102" s="7"/>
      <c r="AT102" s="7"/>
      <c r="AU102" s="7"/>
      <c r="AV102" s="7"/>
      <c r="AW102" s="31"/>
    </row>
    <row r="103" spans="1:52" s="3" customFormat="1" ht="15.75" x14ac:dyDescent="0.2">
      <c r="A103" s="148"/>
      <c r="B103" s="269" t="s">
        <v>5</v>
      </c>
      <c r="C103" s="141"/>
      <c r="D103" s="137"/>
      <c r="E103" s="137"/>
      <c r="F103" s="137"/>
      <c r="G103" s="137"/>
      <c r="H103" s="141"/>
      <c r="I103" s="141"/>
      <c r="J103" s="141"/>
      <c r="K103" s="137"/>
      <c r="L103" s="137"/>
      <c r="M103" s="137"/>
      <c r="N103" s="137"/>
      <c r="O103" s="141"/>
      <c r="P103" s="141"/>
      <c r="Q103" s="141"/>
      <c r="R103" s="141"/>
      <c r="S103" s="189"/>
      <c r="T103" s="213"/>
      <c r="U103" s="189"/>
      <c r="V103" s="189"/>
      <c r="W103" s="214"/>
      <c r="X103" s="189"/>
      <c r="Y103" s="215"/>
      <c r="Z103" s="239" t="s">
        <v>26</v>
      </c>
      <c r="AA103" s="7">
        <v>3.1</v>
      </c>
      <c r="AB103" s="7"/>
      <c r="AC103" s="7"/>
      <c r="AD103" s="7"/>
      <c r="AE103" s="7"/>
      <c r="AF103" s="7"/>
      <c r="AG103" s="7"/>
      <c r="AH103" s="7"/>
      <c r="AI103" s="7"/>
      <c r="AJ103" s="7"/>
      <c r="AK103" s="7"/>
      <c r="AL103" s="7"/>
      <c r="AM103" s="7"/>
      <c r="AN103" s="7"/>
      <c r="AO103" s="7"/>
      <c r="AP103" s="7"/>
      <c r="AQ103" s="7"/>
      <c r="AR103" s="7"/>
      <c r="AS103" s="7"/>
      <c r="AT103" s="7"/>
      <c r="AU103" s="7"/>
      <c r="AV103" s="7"/>
      <c r="AW103" s="31"/>
    </row>
    <row r="104" spans="1:52" s="3" customFormat="1" ht="15.75" x14ac:dyDescent="0.2">
      <c r="A104" s="148"/>
      <c r="B104" s="269" t="s">
        <v>251</v>
      </c>
      <c r="C104" s="141"/>
      <c r="D104" s="137"/>
      <c r="E104" s="137"/>
      <c r="F104" s="137"/>
      <c r="G104" s="137"/>
      <c r="H104" s="141"/>
      <c r="I104" s="141"/>
      <c r="J104" s="141"/>
      <c r="K104" s="137"/>
      <c r="L104" s="137"/>
      <c r="M104" s="137"/>
      <c r="N104" s="137"/>
      <c r="O104" s="141"/>
      <c r="P104" s="141"/>
      <c r="Q104" s="141"/>
      <c r="R104" s="141"/>
      <c r="S104" s="189"/>
      <c r="T104" s="213"/>
      <c r="U104" s="189"/>
      <c r="V104" s="189"/>
      <c r="W104" s="214"/>
      <c r="X104" s="189"/>
      <c r="Y104" s="215"/>
      <c r="Z104" s="239" t="s">
        <v>26</v>
      </c>
      <c r="AA104" s="7">
        <v>10</v>
      </c>
      <c r="AB104" s="7"/>
      <c r="AC104" s="7"/>
      <c r="AD104" s="7"/>
      <c r="AE104" s="7"/>
      <c r="AF104" s="7"/>
      <c r="AG104" s="7"/>
      <c r="AH104" s="7"/>
      <c r="AI104" s="7"/>
      <c r="AJ104" s="7"/>
      <c r="AK104" s="7"/>
      <c r="AL104" s="7"/>
      <c r="AM104" s="7"/>
      <c r="AN104" s="7"/>
      <c r="AO104" s="7"/>
      <c r="AP104" s="7"/>
      <c r="AQ104" s="7"/>
      <c r="AR104" s="7"/>
      <c r="AS104" s="7"/>
      <c r="AT104" s="7"/>
      <c r="AU104" s="7"/>
      <c r="AV104" s="7"/>
      <c r="AW104" s="31"/>
    </row>
    <row r="105" spans="1:52" s="3" customFormat="1" ht="15.75" x14ac:dyDescent="0.2">
      <c r="A105" s="148"/>
      <c r="B105" s="269" t="s">
        <v>252</v>
      </c>
      <c r="C105" s="141"/>
      <c r="D105" s="137"/>
      <c r="E105" s="137"/>
      <c r="F105" s="137"/>
      <c r="G105" s="137"/>
      <c r="H105" s="141"/>
      <c r="I105" s="141"/>
      <c r="J105" s="141"/>
      <c r="K105" s="137"/>
      <c r="L105" s="137"/>
      <c r="M105" s="137"/>
      <c r="N105" s="137"/>
      <c r="O105" s="141"/>
      <c r="P105" s="141"/>
      <c r="Q105" s="141"/>
      <c r="R105" s="141"/>
      <c r="S105" s="189"/>
      <c r="T105" s="213"/>
      <c r="U105" s="189"/>
      <c r="V105" s="189"/>
      <c r="W105" s="214"/>
      <c r="X105" s="189"/>
      <c r="Y105" s="215"/>
      <c r="Z105" s="239" t="s">
        <v>26</v>
      </c>
      <c r="AA105" s="7">
        <v>6.6</v>
      </c>
      <c r="AB105" s="7"/>
      <c r="AC105" s="7"/>
      <c r="AD105" s="7"/>
      <c r="AE105" s="7"/>
      <c r="AF105" s="7"/>
      <c r="AG105" s="7"/>
      <c r="AH105" s="7"/>
      <c r="AI105" s="7"/>
      <c r="AJ105" s="7"/>
      <c r="AK105" s="7"/>
      <c r="AL105" s="7"/>
      <c r="AM105" s="7"/>
      <c r="AN105" s="7"/>
      <c r="AO105" s="7"/>
      <c r="AP105" s="7"/>
      <c r="AQ105" s="7"/>
      <c r="AR105" s="7"/>
      <c r="AS105" s="7"/>
      <c r="AT105" s="7"/>
      <c r="AU105" s="7"/>
      <c r="AV105" s="7"/>
      <c r="AW105" s="31"/>
    </row>
    <row r="106" spans="1:52" s="3" customFormat="1" ht="15.75" x14ac:dyDescent="0.2">
      <c r="A106" s="148"/>
      <c r="B106" s="269" t="s">
        <v>6</v>
      </c>
      <c r="C106" s="141"/>
      <c r="D106" s="137"/>
      <c r="E106" s="137"/>
      <c r="F106" s="137"/>
      <c r="G106" s="137"/>
      <c r="H106" s="141"/>
      <c r="I106" s="141"/>
      <c r="J106" s="141"/>
      <c r="K106" s="137"/>
      <c r="L106" s="137"/>
      <c r="M106" s="137"/>
      <c r="N106" s="137"/>
      <c r="O106" s="141"/>
      <c r="P106" s="141"/>
      <c r="Q106" s="141"/>
      <c r="R106" s="141"/>
      <c r="S106" s="189"/>
      <c r="T106" s="213"/>
      <c r="U106" s="189"/>
      <c r="V106" s="189"/>
      <c r="W106" s="214"/>
      <c r="X106" s="189"/>
      <c r="Y106" s="215"/>
      <c r="Z106" s="239" t="s">
        <v>26</v>
      </c>
      <c r="AA106" s="7">
        <v>10.9</v>
      </c>
      <c r="AB106" s="7"/>
      <c r="AC106" s="7"/>
      <c r="AD106" s="7"/>
      <c r="AE106" s="7"/>
      <c r="AF106" s="7"/>
      <c r="AG106" s="7"/>
      <c r="AH106" s="7"/>
      <c r="AI106" s="7"/>
      <c r="AJ106" s="7"/>
      <c r="AK106" s="7"/>
      <c r="AL106" s="7"/>
      <c r="AM106" s="7"/>
      <c r="AN106" s="7"/>
      <c r="AO106" s="7"/>
      <c r="AP106" s="7"/>
      <c r="AQ106" s="7"/>
      <c r="AR106" s="7"/>
      <c r="AS106" s="7"/>
      <c r="AT106" s="7"/>
      <c r="AU106" s="7"/>
      <c r="AV106" s="7"/>
      <c r="AW106" s="31"/>
    </row>
    <row r="107" spans="1:52" s="3" customFormat="1" ht="15.75" x14ac:dyDescent="0.2">
      <c r="A107" s="148"/>
      <c r="B107" s="269" t="s">
        <v>8</v>
      </c>
      <c r="C107" s="141"/>
      <c r="D107" s="137"/>
      <c r="E107" s="137"/>
      <c r="F107" s="137"/>
      <c r="G107" s="137"/>
      <c r="H107" s="141"/>
      <c r="I107" s="141"/>
      <c r="J107" s="141"/>
      <c r="K107" s="137"/>
      <c r="L107" s="137"/>
      <c r="M107" s="137"/>
      <c r="N107" s="137"/>
      <c r="O107" s="141"/>
      <c r="P107" s="141"/>
      <c r="Q107" s="141"/>
      <c r="R107" s="141"/>
      <c r="S107" s="189"/>
      <c r="T107" s="213"/>
      <c r="U107" s="189"/>
      <c r="V107" s="189"/>
      <c r="W107" s="214"/>
      <c r="X107" s="189"/>
      <c r="Y107" s="215"/>
      <c r="Z107" s="239" t="s">
        <v>26</v>
      </c>
      <c r="AA107" s="7">
        <v>16.5</v>
      </c>
      <c r="AB107" s="7"/>
      <c r="AC107" s="7"/>
      <c r="AD107" s="7"/>
      <c r="AE107" s="7"/>
      <c r="AF107" s="7"/>
      <c r="AG107" s="7"/>
      <c r="AH107" s="7"/>
      <c r="AI107" s="7"/>
      <c r="AJ107" s="7"/>
      <c r="AK107" s="7"/>
      <c r="AL107" s="7"/>
      <c r="AM107" s="7"/>
      <c r="AN107" s="7"/>
      <c r="AO107" s="7"/>
      <c r="AP107" s="7"/>
      <c r="AQ107" s="7"/>
      <c r="AR107" s="7"/>
      <c r="AS107" s="7"/>
      <c r="AT107" s="7"/>
      <c r="AU107" s="7"/>
      <c r="AV107" s="7"/>
      <c r="AW107" s="31"/>
    </row>
    <row r="108" spans="1:52" s="3" customFormat="1" ht="15.75" x14ac:dyDescent="0.2">
      <c r="A108" s="148"/>
      <c r="B108" s="269" t="s">
        <v>7</v>
      </c>
      <c r="C108" s="141"/>
      <c r="D108" s="137"/>
      <c r="E108" s="137"/>
      <c r="F108" s="137"/>
      <c r="G108" s="137"/>
      <c r="H108" s="141"/>
      <c r="I108" s="141"/>
      <c r="J108" s="141"/>
      <c r="K108" s="137"/>
      <c r="L108" s="137"/>
      <c r="M108" s="137"/>
      <c r="N108" s="137"/>
      <c r="O108" s="141"/>
      <c r="P108" s="141"/>
      <c r="Q108" s="141"/>
      <c r="R108" s="141"/>
      <c r="S108" s="189"/>
      <c r="T108" s="213"/>
      <c r="U108" s="189"/>
      <c r="V108" s="189"/>
      <c r="W108" s="214"/>
      <c r="X108" s="189"/>
      <c r="Y108" s="215"/>
      <c r="Z108" s="239" t="s">
        <v>26</v>
      </c>
      <c r="AA108" s="7">
        <v>10.8</v>
      </c>
      <c r="AB108" s="7"/>
      <c r="AC108" s="7"/>
      <c r="AD108" s="7"/>
      <c r="AE108" s="7"/>
      <c r="AF108" s="7"/>
      <c r="AG108" s="7"/>
      <c r="AH108" s="7"/>
      <c r="AI108" s="7"/>
      <c r="AJ108" s="7"/>
      <c r="AK108" s="7"/>
      <c r="AL108" s="7"/>
      <c r="AM108" s="7"/>
      <c r="AN108" s="7"/>
      <c r="AO108" s="7"/>
      <c r="AP108" s="7"/>
      <c r="AQ108" s="7"/>
      <c r="AR108" s="7"/>
      <c r="AS108" s="7"/>
      <c r="AT108" s="7"/>
      <c r="AU108" s="7"/>
      <c r="AV108" s="7"/>
      <c r="AW108" s="31"/>
    </row>
    <row r="109" spans="1:52" s="3" customFormat="1" ht="15.75" x14ac:dyDescent="0.2">
      <c r="A109" s="148"/>
      <c r="B109" s="270" t="s">
        <v>800</v>
      </c>
      <c r="C109" s="141"/>
      <c r="D109" s="137"/>
      <c r="E109" s="137"/>
      <c r="F109" s="137"/>
      <c r="G109" s="137"/>
      <c r="H109" s="141"/>
      <c r="I109" s="141"/>
      <c r="J109" s="141"/>
      <c r="K109" s="137"/>
      <c r="L109" s="137"/>
      <c r="M109" s="137"/>
      <c r="N109" s="137"/>
      <c r="O109" s="141"/>
      <c r="P109" s="141"/>
      <c r="Q109" s="141"/>
      <c r="R109" s="141"/>
      <c r="S109" s="189"/>
      <c r="T109" s="213"/>
      <c r="U109" s="189"/>
      <c r="V109" s="189"/>
      <c r="W109" s="214"/>
      <c r="X109" s="189"/>
      <c r="Y109" s="215"/>
      <c r="Z109" s="239" t="s">
        <v>26</v>
      </c>
      <c r="AA109" s="7">
        <v>13</v>
      </c>
      <c r="AB109" s="7"/>
      <c r="AC109" s="7"/>
      <c r="AD109" s="7"/>
      <c r="AE109" s="7"/>
      <c r="AF109" s="7"/>
      <c r="AG109" s="7"/>
      <c r="AH109" s="7"/>
      <c r="AI109" s="7"/>
      <c r="AJ109" s="7"/>
      <c r="AK109" s="7"/>
      <c r="AL109" s="7"/>
      <c r="AM109" s="7"/>
      <c r="AN109" s="7"/>
      <c r="AO109" s="7"/>
      <c r="AP109" s="7"/>
      <c r="AQ109" s="7"/>
      <c r="AR109" s="7"/>
      <c r="AS109" s="7"/>
      <c r="AT109" s="7"/>
      <c r="AU109" s="7"/>
      <c r="AV109" s="7"/>
      <c r="AW109" s="31"/>
    </row>
    <row r="110" spans="1:52" s="3" customFormat="1" ht="15.75" x14ac:dyDescent="0.2">
      <c r="A110" s="148"/>
      <c r="B110" s="137"/>
      <c r="C110" s="141"/>
      <c r="D110" s="137"/>
      <c r="E110" s="137"/>
      <c r="F110" s="137"/>
      <c r="G110" s="137"/>
      <c r="H110" s="141"/>
      <c r="I110" s="141"/>
      <c r="J110" s="141"/>
      <c r="K110" s="137"/>
      <c r="L110" s="137"/>
      <c r="M110" s="137"/>
      <c r="N110" s="137"/>
      <c r="O110" s="141"/>
      <c r="P110" s="141"/>
      <c r="Q110" s="141"/>
      <c r="R110" s="141"/>
      <c r="S110" s="189"/>
      <c r="T110" s="213"/>
      <c r="U110" s="189"/>
      <c r="V110" s="189"/>
      <c r="W110" s="214"/>
      <c r="X110" s="189"/>
      <c r="Y110" s="215"/>
      <c r="Z110" s="239" t="s">
        <v>26</v>
      </c>
      <c r="AA110" s="239" t="s">
        <v>26</v>
      </c>
      <c r="AB110" s="7"/>
      <c r="AC110" s="7"/>
      <c r="AD110" s="7"/>
      <c r="AE110" s="7"/>
      <c r="AF110" s="7"/>
      <c r="AG110" s="7"/>
      <c r="AH110" s="7"/>
      <c r="AI110" s="7"/>
      <c r="AJ110" s="7"/>
      <c r="AK110" s="7"/>
      <c r="AL110" s="7"/>
      <c r="AM110" s="7"/>
      <c r="AN110" s="7"/>
      <c r="AO110" s="7"/>
      <c r="AP110" s="7"/>
      <c r="AQ110" s="7"/>
      <c r="AR110" s="7"/>
      <c r="AS110" s="7"/>
      <c r="AT110" s="7"/>
      <c r="AU110" s="7"/>
      <c r="AV110" s="7"/>
      <c r="AW110" s="31"/>
    </row>
    <row r="111" spans="1:52" s="3" customFormat="1" ht="15.75" x14ac:dyDescent="0.2">
      <c r="A111" s="148"/>
      <c r="B111" s="137"/>
      <c r="C111" s="141"/>
      <c r="D111" s="137"/>
      <c r="E111" s="137"/>
      <c r="F111" s="137"/>
      <c r="G111" s="137"/>
      <c r="H111" s="141"/>
      <c r="I111" s="141"/>
      <c r="J111" s="141"/>
      <c r="K111" s="137"/>
      <c r="L111" s="137"/>
      <c r="M111" s="137"/>
      <c r="N111" s="137"/>
      <c r="O111" s="141"/>
      <c r="P111" s="141"/>
      <c r="Q111" s="141"/>
      <c r="R111" s="141"/>
      <c r="S111" s="189"/>
      <c r="T111" s="213"/>
      <c r="U111" s="189"/>
      <c r="V111" s="189"/>
      <c r="W111" s="214"/>
      <c r="X111" s="189"/>
      <c r="Y111" s="215"/>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53"/>
    </row>
    <row r="112" spans="1:52" s="3" customFormat="1" ht="15.75" x14ac:dyDescent="0.2">
      <c r="A112" s="149"/>
      <c r="B112" s="138"/>
      <c r="C112" s="143"/>
      <c r="D112" s="138"/>
      <c r="E112" s="138"/>
      <c r="F112" s="138"/>
      <c r="G112" s="138"/>
      <c r="H112" s="143"/>
      <c r="I112" s="143"/>
      <c r="J112" s="143"/>
      <c r="K112" s="138"/>
      <c r="L112" s="138"/>
      <c r="M112" s="138"/>
      <c r="N112" s="138"/>
      <c r="O112" s="143"/>
      <c r="P112" s="143"/>
      <c r="Q112" s="143"/>
      <c r="R112" s="121"/>
      <c r="S112" s="227"/>
      <c r="T112" s="228"/>
      <c r="U112" s="227"/>
      <c r="V112" s="227"/>
      <c r="W112" s="229"/>
      <c r="X112" s="227"/>
      <c r="Y112" s="230"/>
      <c r="Z112" s="856" t="s">
        <v>3</v>
      </c>
      <c r="AA112" s="856"/>
      <c r="AB112" s="857"/>
      <c r="AC112" s="856" t="s">
        <v>4</v>
      </c>
      <c r="AD112" s="856"/>
      <c r="AE112" s="857"/>
      <c r="AF112" s="858" t="s">
        <v>5</v>
      </c>
      <c r="AG112" s="856"/>
      <c r="AH112" s="857"/>
      <c r="AI112" s="856" t="s">
        <v>251</v>
      </c>
      <c r="AJ112" s="856"/>
      <c r="AK112" s="856"/>
      <c r="AL112" s="858" t="s">
        <v>252</v>
      </c>
      <c r="AM112" s="856"/>
      <c r="AN112" s="857"/>
      <c r="AO112" s="856" t="s">
        <v>6</v>
      </c>
      <c r="AP112" s="856"/>
      <c r="AQ112" s="857"/>
      <c r="AR112" s="856" t="s">
        <v>8</v>
      </c>
      <c r="AS112" s="856"/>
      <c r="AT112" s="857"/>
      <c r="AU112" s="856" t="s">
        <v>7</v>
      </c>
      <c r="AV112" s="856"/>
      <c r="AW112" s="856"/>
      <c r="AX112" s="855" t="s">
        <v>799</v>
      </c>
      <c r="AY112" s="855"/>
      <c r="AZ112" s="855"/>
    </row>
    <row r="113" spans="1:52" s="3" customFormat="1" ht="15.75" x14ac:dyDescent="0.2">
      <c r="A113" s="148"/>
      <c r="B113" s="139"/>
      <c r="C113" s="144"/>
      <c r="D113" s="139"/>
      <c r="E113" s="139"/>
      <c r="F113" s="139"/>
      <c r="G113" s="139"/>
      <c r="H113" s="144"/>
      <c r="I113" s="144"/>
      <c r="J113" s="144"/>
      <c r="K113" s="139"/>
      <c r="L113" s="139"/>
      <c r="M113" s="139"/>
      <c r="N113" s="139"/>
      <c r="O113" s="144"/>
      <c r="P113" s="144"/>
      <c r="Q113" s="144"/>
      <c r="R113" s="144"/>
      <c r="S113" s="189"/>
      <c r="T113" s="213"/>
      <c r="U113" s="189"/>
      <c r="V113" s="189"/>
      <c r="W113" s="214"/>
      <c r="X113" s="189"/>
      <c r="Y113" s="215"/>
      <c r="Z113" s="696">
        <v>1996</v>
      </c>
      <c r="AA113" s="713">
        <v>2001</v>
      </c>
      <c r="AB113" s="713">
        <v>2011</v>
      </c>
      <c r="AC113" s="713">
        <v>1996</v>
      </c>
      <c r="AD113" s="713">
        <v>2001</v>
      </c>
      <c r="AE113" s="713">
        <v>2011</v>
      </c>
      <c r="AF113" s="713">
        <v>1996</v>
      </c>
      <c r="AG113" s="713">
        <v>2001</v>
      </c>
      <c r="AH113" s="713">
        <v>2011</v>
      </c>
      <c r="AI113" s="713">
        <v>1996</v>
      </c>
      <c r="AJ113" s="713">
        <v>2001</v>
      </c>
      <c r="AK113" s="713">
        <v>2011</v>
      </c>
      <c r="AL113" s="713">
        <v>1996</v>
      </c>
      <c r="AM113" s="713">
        <v>2001</v>
      </c>
      <c r="AN113" s="713">
        <v>2011</v>
      </c>
      <c r="AO113" s="713">
        <v>1996</v>
      </c>
      <c r="AP113" s="713">
        <v>2001</v>
      </c>
      <c r="AQ113" s="713">
        <v>2011</v>
      </c>
      <c r="AR113" s="713">
        <v>1996</v>
      </c>
      <c r="AS113" s="713">
        <v>2001</v>
      </c>
      <c r="AT113" s="713">
        <v>2011</v>
      </c>
      <c r="AU113" s="713">
        <v>1996</v>
      </c>
      <c r="AV113" s="713">
        <v>2001</v>
      </c>
      <c r="AW113" s="713">
        <v>2011</v>
      </c>
      <c r="AX113" s="692">
        <v>1996</v>
      </c>
      <c r="AY113" s="692">
        <v>2001</v>
      </c>
      <c r="AZ113" s="692">
        <v>2011</v>
      </c>
    </row>
    <row r="114" spans="1:52" ht="60" x14ac:dyDescent="0.25">
      <c r="A114" s="148">
        <v>21</v>
      </c>
      <c r="B114" s="137" t="s">
        <v>87</v>
      </c>
      <c r="C114" s="141" t="s">
        <v>491</v>
      </c>
      <c r="D114" s="137" t="s">
        <v>446</v>
      </c>
      <c r="E114" s="137" t="s">
        <v>492</v>
      </c>
      <c r="F114" s="137" t="s">
        <v>493</v>
      </c>
      <c r="G114" s="137" t="s">
        <v>279</v>
      </c>
      <c r="H114" s="141" t="s">
        <v>494</v>
      </c>
      <c r="I114" s="141" t="s">
        <v>495</v>
      </c>
      <c r="J114" s="141" t="s">
        <v>496</v>
      </c>
      <c r="K114" s="137" t="s">
        <v>497</v>
      </c>
      <c r="L114" s="137"/>
      <c r="M114" s="137" t="s">
        <v>285</v>
      </c>
      <c r="N114" s="137" t="s">
        <v>286</v>
      </c>
      <c r="O114" s="141" t="s">
        <v>409</v>
      </c>
      <c r="P114" s="141" t="s">
        <v>350</v>
      </c>
      <c r="Q114" s="141"/>
      <c r="R114" s="141" t="s">
        <v>959</v>
      </c>
      <c r="S114" s="189" t="s">
        <v>794</v>
      </c>
      <c r="T114" s="213" t="s">
        <v>794</v>
      </c>
      <c r="U114" s="189"/>
      <c r="V114" s="189"/>
      <c r="W114" s="214"/>
      <c r="X114" s="189"/>
      <c r="Y114" s="215"/>
      <c r="Z114" s="57"/>
      <c r="AA114" s="57"/>
      <c r="AB114" s="58"/>
      <c r="AC114" s="57"/>
      <c r="AD114" s="57"/>
      <c r="AE114" s="58"/>
      <c r="AF114" s="57"/>
      <c r="AG114" s="57"/>
      <c r="AH114" s="58"/>
      <c r="AI114" s="57"/>
      <c r="AJ114" s="57"/>
      <c r="AK114" s="58"/>
      <c r="AL114" s="57"/>
      <c r="AM114" s="57"/>
      <c r="AN114" s="58"/>
      <c r="AO114" s="57"/>
      <c r="AP114" s="57"/>
      <c r="AQ114" s="58"/>
      <c r="AR114" s="57"/>
      <c r="AS114" s="57"/>
      <c r="AT114" s="58"/>
      <c r="AU114" s="57"/>
      <c r="AV114" s="57"/>
      <c r="AW114" s="58"/>
      <c r="AX114" s="57"/>
      <c r="AY114" s="57"/>
      <c r="AZ114" s="58"/>
    </row>
    <row r="115" spans="1:52" ht="15.75" x14ac:dyDescent="0.25">
      <c r="A115" s="148"/>
      <c r="B115" s="140" t="s">
        <v>88</v>
      </c>
      <c r="C115" s="145"/>
      <c r="D115" s="140"/>
      <c r="E115" s="140"/>
      <c r="F115" s="140"/>
      <c r="G115" s="140"/>
      <c r="H115" s="145"/>
      <c r="I115" s="145"/>
      <c r="J115" s="145"/>
      <c r="K115" s="140"/>
      <c r="L115" s="140"/>
      <c r="M115" s="140"/>
      <c r="N115" s="140"/>
      <c r="O115" s="145"/>
      <c r="P115" s="145"/>
      <c r="Q115" s="145"/>
      <c r="R115" s="145"/>
      <c r="S115" s="189"/>
      <c r="T115" s="213"/>
      <c r="U115" s="189"/>
      <c r="V115" s="189"/>
      <c r="W115" s="214"/>
      <c r="X115" s="189"/>
      <c r="Y115" s="215"/>
      <c r="Z115" s="6">
        <v>561885</v>
      </c>
      <c r="AA115" s="6">
        <v>779720</v>
      </c>
      <c r="AB115" s="49">
        <v>1167935</v>
      </c>
      <c r="AC115" s="6">
        <v>355441</v>
      </c>
      <c r="AD115" s="6">
        <v>454129</v>
      </c>
      <c r="AE115" s="49">
        <v>735231</v>
      </c>
      <c r="AF115" s="6">
        <v>516693</v>
      </c>
      <c r="AG115" s="6">
        <v>599471</v>
      </c>
      <c r="AH115" s="49">
        <v>837532</v>
      </c>
      <c r="AI115" s="6">
        <v>452281</v>
      </c>
      <c r="AJ115" s="6">
        <v>572746</v>
      </c>
      <c r="AK115" s="49">
        <v>756156</v>
      </c>
      <c r="AL115" s="6">
        <v>377066</v>
      </c>
      <c r="AM115" s="6">
        <v>521750</v>
      </c>
      <c r="AN115" s="49">
        <v>786257</v>
      </c>
      <c r="AO115" s="6">
        <v>160790</v>
      </c>
      <c r="AP115" s="6">
        <v>196148</v>
      </c>
      <c r="AQ115" s="49">
        <v>282628</v>
      </c>
      <c r="AR115" s="6">
        <v>99351</v>
      </c>
      <c r="AS115" s="6">
        <v>120774</v>
      </c>
      <c r="AT115" s="49">
        <v>162005</v>
      </c>
      <c r="AU115" s="6">
        <v>108350</v>
      </c>
      <c r="AV115" s="6">
        <v>132668</v>
      </c>
      <c r="AW115" s="49">
        <v>134128</v>
      </c>
      <c r="AX115" s="326">
        <v>40921.3842101111</v>
      </c>
      <c r="AY115" s="326">
        <v>46348.499991400102</v>
      </c>
      <c r="AZ115" s="329">
        <v>52276.084438661099</v>
      </c>
    </row>
    <row r="116" spans="1:52" ht="15.75" x14ac:dyDescent="0.25">
      <c r="A116" s="148"/>
      <c r="B116" s="140" t="s">
        <v>89</v>
      </c>
      <c r="C116" s="145"/>
      <c r="D116" s="140"/>
      <c r="E116" s="140"/>
      <c r="F116" s="140"/>
      <c r="G116" s="140"/>
      <c r="H116" s="145"/>
      <c r="I116" s="145"/>
      <c r="J116" s="145"/>
      <c r="K116" s="140"/>
      <c r="L116" s="140"/>
      <c r="M116" s="140"/>
      <c r="N116" s="140"/>
      <c r="O116" s="145"/>
      <c r="P116" s="145"/>
      <c r="Q116" s="145"/>
      <c r="R116" s="145"/>
      <c r="S116" s="189"/>
      <c r="T116" s="213"/>
      <c r="U116" s="189"/>
      <c r="V116" s="189"/>
      <c r="W116" s="214"/>
      <c r="X116" s="189"/>
      <c r="Y116" s="215"/>
      <c r="Z116" s="6">
        <v>155467</v>
      </c>
      <c r="AA116" s="6">
        <v>212693</v>
      </c>
      <c r="AB116" s="49">
        <v>249823</v>
      </c>
      <c r="AC116" s="6">
        <v>91373</v>
      </c>
      <c r="AD116" s="6">
        <v>139482</v>
      </c>
      <c r="AE116" s="49">
        <v>164014</v>
      </c>
      <c r="AF116" s="6">
        <v>125204</v>
      </c>
      <c r="AG116" s="6">
        <v>142981</v>
      </c>
      <c r="AH116" s="49">
        <v>218780</v>
      </c>
      <c r="AI116" s="6">
        <v>139807</v>
      </c>
      <c r="AJ116" s="6">
        <v>150390</v>
      </c>
      <c r="AK116" s="49">
        <v>149289</v>
      </c>
      <c r="AL116" s="6">
        <v>156415</v>
      </c>
      <c r="AM116" s="6">
        <v>213334</v>
      </c>
      <c r="AN116" s="49">
        <v>218259</v>
      </c>
      <c r="AO116" s="6">
        <v>60670</v>
      </c>
      <c r="AP116" s="6">
        <v>59795</v>
      </c>
      <c r="AQ116" s="49">
        <v>38861</v>
      </c>
      <c r="AR116" s="6">
        <v>42535</v>
      </c>
      <c r="AS116" s="6">
        <v>55056</v>
      </c>
      <c r="AT116" s="49">
        <v>49790</v>
      </c>
      <c r="AU116" s="6">
        <v>34778</v>
      </c>
      <c r="AV116" s="6">
        <v>43811</v>
      </c>
      <c r="AW116" s="49">
        <v>32747</v>
      </c>
      <c r="AX116" s="326">
        <v>8129.66293154303</v>
      </c>
      <c r="AY116" s="326">
        <v>15423.513437343399</v>
      </c>
      <c r="AZ116" s="329">
        <v>12418.4878899083</v>
      </c>
    </row>
    <row r="117" spans="1:52" ht="15.75" x14ac:dyDescent="0.25">
      <c r="A117" s="148"/>
      <c r="B117" s="140" t="s">
        <v>90</v>
      </c>
      <c r="C117" s="145"/>
      <c r="D117" s="140"/>
      <c r="E117" s="140"/>
      <c r="F117" s="140"/>
      <c r="G117" s="140"/>
      <c r="H117" s="145"/>
      <c r="I117" s="145"/>
      <c r="J117" s="145"/>
      <c r="K117" s="140"/>
      <c r="L117" s="140"/>
      <c r="M117" s="140"/>
      <c r="N117" s="140"/>
      <c r="O117" s="145"/>
      <c r="P117" s="145"/>
      <c r="Q117" s="145"/>
      <c r="R117" s="145"/>
      <c r="S117" s="189"/>
      <c r="T117" s="213"/>
      <c r="U117" s="189"/>
      <c r="V117" s="189"/>
      <c r="W117" s="214"/>
      <c r="X117" s="189"/>
      <c r="Y117" s="215"/>
      <c r="Z117" s="6">
        <v>3127</v>
      </c>
      <c r="AA117" s="6">
        <v>11701</v>
      </c>
      <c r="AB117" s="49">
        <v>5626</v>
      </c>
      <c r="AC117" s="6">
        <v>6199</v>
      </c>
      <c r="AD117" s="6">
        <v>10433</v>
      </c>
      <c r="AE117" s="49">
        <v>3916</v>
      </c>
      <c r="AF117" s="6">
        <v>2850</v>
      </c>
      <c r="AG117" s="6">
        <v>14769</v>
      </c>
      <c r="AH117" s="49">
        <v>3767</v>
      </c>
      <c r="AI117" s="6">
        <v>46268</v>
      </c>
      <c r="AJ117" s="6">
        <v>60182</v>
      </c>
      <c r="AK117" s="49">
        <v>40188</v>
      </c>
      <c r="AL117" s="6">
        <v>2297</v>
      </c>
      <c r="AM117" s="6">
        <v>8091</v>
      </c>
      <c r="AN117" s="49">
        <v>2500</v>
      </c>
      <c r="AO117" s="6">
        <v>1706</v>
      </c>
      <c r="AP117" s="6">
        <v>4070</v>
      </c>
      <c r="AQ117" s="49">
        <v>1112</v>
      </c>
      <c r="AR117" s="6">
        <v>17470</v>
      </c>
      <c r="AS117" s="6">
        <v>15642</v>
      </c>
      <c r="AT117" s="49">
        <v>10157</v>
      </c>
      <c r="AU117" s="6">
        <v>8877</v>
      </c>
      <c r="AV117" s="6">
        <v>7999</v>
      </c>
      <c r="AW117" s="49">
        <v>3050</v>
      </c>
      <c r="AX117" s="326">
        <v>19052.563632809</v>
      </c>
      <c r="AY117" s="326">
        <v>17910.084139373899</v>
      </c>
      <c r="AZ117" s="329">
        <v>33042.932504311197</v>
      </c>
    </row>
    <row r="118" spans="1:52" ht="60" x14ac:dyDescent="0.25">
      <c r="A118" s="148">
        <v>22</v>
      </c>
      <c r="B118" s="137" t="s">
        <v>91</v>
      </c>
      <c r="C118" s="141" t="s">
        <v>505</v>
      </c>
      <c r="D118" s="137" t="s">
        <v>446</v>
      </c>
      <c r="E118" s="137" t="s">
        <v>506</v>
      </c>
      <c r="F118" s="137" t="s">
        <v>493</v>
      </c>
      <c r="G118" s="137" t="s">
        <v>279</v>
      </c>
      <c r="H118" s="141" t="s">
        <v>494</v>
      </c>
      <c r="I118" s="141" t="s">
        <v>495</v>
      </c>
      <c r="J118" s="141" t="s">
        <v>507</v>
      </c>
      <c r="K118" s="137" t="s">
        <v>508</v>
      </c>
      <c r="L118" s="137"/>
      <c r="M118" s="137" t="s">
        <v>285</v>
      </c>
      <c r="N118" s="137" t="s">
        <v>286</v>
      </c>
      <c r="O118" s="141" t="s">
        <v>409</v>
      </c>
      <c r="P118" s="141" t="s">
        <v>350</v>
      </c>
      <c r="Q118" s="141"/>
      <c r="R118" s="141" t="s">
        <v>959</v>
      </c>
      <c r="S118" s="189" t="s">
        <v>794</v>
      </c>
      <c r="T118" s="213" t="s">
        <v>794</v>
      </c>
      <c r="U118" s="189"/>
      <c r="V118" s="189"/>
      <c r="W118" s="214"/>
      <c r="X118" s="189"/>
      <c r="Y118" s="215"/>
      <c r="Z118" s="57"/>
      <c r="AA118" s="57"/>
      <c r="AB118" s="58"/>
      <c r="AC118" s="57"/>
      <c r="AD118" s="57"/>
      <c r="AE118" s="58"/>
      <c r="AF118" s="57"/>
      <c r="AG118" s="57"/>
      <c r="AH118" s="58"/>
      <c r="AI118" s="57"/>
      <c r="AJ118" s="57"/>
      <c r="AK118" s="58"/>
      <c r="AL118" s="57"/>
      <c r="AM118" s="57"/>
      <c r="AN118" s="58"/>
      <c r="AO118" s="57"/>
      <c r="AP118" s="57"/>
      <c r="AQ118" s="58"/>
      <c r="AR118" s="57"/>
      <c r="AS118" s="57"/>
      <c r="AT118" s="58"/>
      <c r="AU118" s="57"/>
      <c r="AV118" s="57"/>
      <c r="AW118" s="58"/>
      <c r="AX118" s="57"/>
      <c r="AY118" s="57"/>
      <c r="AZ118" s="58"/>
    </row>
    <row r="119" spans="1:52" ht="15.75" x14ac:dyDescent="0.25">
      <c r="A119" s="148"/>
      <c r="B119" s="140" t="s">
        <v>94</v>
      </c>
      <c r="C119" s="145"/>
      <c r="D119" s="140"/>
      <c r="E119" s="140"/>
      <c r="F119" s="140"/>
      <c r="G119" s="140"/>
      <c r="H119" s="145"/>
      <c r="I119" s="145"/>
      <c r="J119" s="145"/>
      <c r="K119" s="140"/>
      <c r="L119" s="140"/>
      <c r="M119" s="140"/>
      <c r="N119" s="140"/>
      <c r="O119" s="145"/>
      <c r="P119" s="145"/>
      <c r="Q119" s="145"/>
      <c r="R119" s="145"/>
      <c r="S119" s="189"/>
      <c r="T119" s="213"/>
      <c r="U119" s="189"/>
      <c r="V119" s="189"/>
      <c r="W119" s="214"/>
      <c r="X119" s="189"/>
      <c r="Y119" s="215"/>
      <c r="Z119" s="239" t="s">
        <v>26</v>
      </c>
      <c r="AA119" s="6">
        <v>253726</v>
      </c>
      <c r="AB119" s="49">
        <v>340081</v>
      </c>
      <c r="AC119" s="8" t="s">
        <v>26</v>
      </c>
      <c r="AD119" s="6">
        <v>219895</v>
      </c>
      <c r="AE119" s="49">
        <v>307004</v>
      </c>
      <c r="AF119" s="8" t="s">
        <v>26</v>
      </c>
      <c r="AG119" s="6">
        <v>235360</v>
      </c>
      <c r="AH119" s="49">
        <v>355246</v>
      </c>
      <c r="AI119" s="8" t="s">
        <v>26</v>
      </c>
      <c r="AJ119" s="6">
        <v>328144</v>
      </c>
      <c r="AK119" s="49">
        <v>380024</v>
      </c>
      <c r="AL119" s="8" t="s">
        <v>26</v>
      </c>
      <c r="AM119" s="6">
        <v>213499</v>
      </c>
      <c r="AN119" s="49">
        <v>277633</v>
      </c>
      <c r="AO119" s="8" t="s">
        <v>26</v>
      </c>
      <c r="AP119" s="6">
        <v>101818</v>
      </c>
      <c r="AQ119" s="49">
        <v>153065</v>
      </c>
      <c r="AR119" s="8" t="s">
        <v>26</v>
      </c>
      <c r="AS119" s="6">
        <v>70136</v>
      </c>
      <c r="AT119" s="49">
        <v>81731</v>
      </c>
      <c r="AU119" s="8" t="s">
        <v>26</v>
      </c>
      <c r="AV119" s="6">
        <v>80721</v>
      </c>
      <c r="AW119" s="49">
        <v>118899</v>
      </c>
      <c r="AX119" s="57"/>
      <c r="AY119" s="57"/>
      <c r="AZ119" s="58"/>
    </row>
    <row r="120" spans="1:52" ht="15.75" x14ac:dyDescent="0.25">
      <c r="A120" s="148"/>
      <c r="B120" s="140" t="s">
        <v>95</v>
      </c>
      <c r="C120" s="145"/>
      <c r="D120" s="140"/>
      <c r="E120" s="140"/>
      <c r="F120" s="140"/>
      <c r="G120" s="140"/>
      <c r="H120" s="145"/>
      <c r="I120" s="145"/>
      <c r="J120" s="145"/>
      <c r="K120" s="140"/>
      <c r="L120" s="140"/>
      <c r="M120" s="140"/>
      <c r="N120" s="140"/>
      <c r="O120" s="145"/>
      <c r="P120" s="145"/>
      <c r="Q120" s="145"/>
      <c r="R120" s="145"/>
      <c r="S120" s="189"/>
      <c r="T120" s="213"/>
      <c r="U120" s="189"/>
      <c r="V120" s="189"/>
      <c r="W120" s="214"/>
      <c r="X120" s="189"/>
      <c r="Y120" s="215"/>
      <c r="Z120" s="239" t="s">
        <v>26</v>
      </c>
      <c r="AA120" s="6">
        <v>221568</v>
      </c>
      <c r="AB120" s="49">
        <v>236694</v>
      </c>
      <c r="AC120" s="8" t="s">
        <v>26</v>
      </c>
      <c r="AD120" s="6">
        <v>154678</v>
      </c>
      <c r="AE120" s="49">
        <v>166840</v>
      </c>
      <c r="AF120" s="8" t="s">
        <v>26</v>
      </c>
      <c r="AG120" s="6">
        <v>225626</v>
      </c>
      <c r="AH120" s="49">
        <v>223435</v>
      </c>
      <c r="AI120" s="8" t="s">
        <v>26</v>
      </c>
      <c r="AJ120" s="6">
        <v>147290</v>
      </c>
      <c r="AK120" s="49">
        <v>141819</v>
      </c>
      <c r="AL120" s="8" t="s">
        <v>26</v>
      </c>
      <c r="AM120" s="6">
        <v>176821</v>
      </c>
      <c r="AN120" s="49">
        <v>169175</v>
      </c>
      <c r="AO120" s="8" t="s">
        <v>26</v>
      </c>
      <c r="AP120" s="6">
        <v>53049</v>
      </c>
      <c r="AQ120" s="49">
        <v>46014</v>
      </c>
      <c r="AR120" s="8" t="s">
        <v>26</v>
      </c>
      <c r="AS120" s="6">
        <v>29029</v>
      </c>
      <c r="AT120" s="49">
        <v>29713</v>
      </c>
      <c r="AU120" s="8" t="s">
        <v>26</v>
      </c>
      <c r="AV120" s="6">
        <v>29007</v>
      </c>
      <c r="AW120" s="49">
        <v>25859</v>
      </c>
      <c r="AX120" s="57"/>
      <c r="AY120" s="57"/>
      <c r="AZ120" s="58"/>
    </row>
    <row r="121" spans="1:52" ht="15.75" x14ac:dyDescent="0.25">
      <c r="A121" s="148"/>
      <c r="B121" s="140" t="s">
        <v>96</v>
      </c>
      <c r="C121" s="145"/>
      <c r="D121" s="140"/>
      <c r="E121" s="140"/>
      <c r="F121" s="140"/>
      <c r="G121" s="140"/>
      <c r="H121" s="145"/>
      <c r="I121" s="145"/>
      <c r="J121" s="145"/>
      <c r="K121" s="140"/>
      <c r="L121" s="140"/>
      <c r="M121" s="140"/>
      <c r="N121" s="140"/>
      <c r="O121" s="145"/>
      <c r="P121" s="145"/>
      <c r="Q121" s="145"/>
      <c r="R121" s="145"/>
      <c r="S121" s="189"/>
      <c r="T121" s="213"/>
      <c r="U121" s="189"/>
      <c r="V121" s="189"/>
      <c r="W121" s="214"/>
      <c r="X121" s="189"/>
      <c r="Y121" s="215"/>
      <c r="Z121" s="239" t="s">
        <v>26</v>
      </c>
      <c r="AA121" s="6">
        <v>332438</v>
      </c>
      <c r="AB121" s="49">
        <v>590652</v>
      </c>
      <c r="AC121" s="8" t="s">
        <v>26</v>
      </c>
      <c r="AD121" s="6">
        <v>129531</v>
      </c>
      <c r="AE121" s="49">
        <v>291590</v>
      </c>
      <c r="AF121" s="8" t="s">
        <v>26</v>
      </c>
      <c r="AG121" s="6">
        <v>187118</v>
      </c>
      <c r="AH121" s="49">
        <v>319343</v>
      </c>
      <c r="AI121" s="8" t="s">
        <v>26</v>
      </c>
      <c r="AJ121" s="6">
        <v>197128</v>
      </c>
      <c r="AK121" s="49">
        <v>284135</v>
      </c>
      <c r="AL121" s="8" t="s">
        <v>26</v>
      </c>
      <c r="AM121" s="6">
        <v>206518</v>
      </c>
      <c r="AN121" s="49">
        <v>378364</v>
      </c>
      <c r="AO121" s="8" t="s">
        <v>26</v>
      </c>
      <c r="AP121" s="6">
        <v>40416</v>
      </c>
      <c r="AQ121" s="49">
        <v>62518</v>
      </c>
      <c r="AR121" s="8" t="s">
        <v>26</v>
      </c>
      <c r="AS121" s="6">
        <v>34710</v>
      </c>
      <c r="AT121" s="49">
        <v>52167</v>
      </c>
      <c r="AU121" s="8" t="s">
        <v>26</v>
      </c>
      <c r="AV121" s="6">
        <v>22101</v>
      </c>
      <c r="AW121" s="49">
        <v>47472</v>
      </c>
      <c r="AX121" s="57"/>
      <c r="AY121" s="57"/>
      <c r="AZ121" s="58"/>
    </row>
    <row r="122" spans="1:52" ht="15.75" x14ac:dyDescent="0.25">
      <c r="A122" s="148"/>
      <c r="B122" s="140" t="s">
        <v>97</v>
      </c>
      <c r="C122" s="145"/>
      <c r="D122" s="140"/>
      <c r="E122" s="140"/>
      <c r="F122" s="140"/>
      <c r="G122" s="140"/>
      <c r="H122" s="145"/>
      <c r="I122" s="145"/>
      <c r="J122" s="145"/>
      <c r="K122" s="140"/>
      <c r="L122" s="140"/>
      <c r="M122" s="140"/>
      <c r="N122" s="140"/>
      <c r="O122" s="145"/>
      <c r="P122" s="145"/>
      <c r="Q122" s="145"/>
      <c r="R122" s="145"/>
      <c r="S122" s="189"/>
      <c r="T122" s="213"/>
      <c r="U122" s="189"/>
      <c r="V122" s="189"/>
      <c r="W122" s="214"/>
      <c r="X122" s="189"/>
      <c r="Y122" s="215"/>
      <c r="Z122" s="239" t="s">
        <v>26</v>
      </c>
      <c r="AA122" s="6">
        <v>199179</v>
      </c>
      <c r="AB122" s="49">
        <v>227609</v>
      </c>
      <c r="AC122" s="8" t="s">
        <v>26</v>
      </c>
      <c r="AD122" s="6">
        <v>101920</v>
      </c>
      <c r="AE122" s="49">
        <v>121713</v>
      </c>
      <c r="AF122" s="8" t="s">
        <v>26</v>
      </c>
      <c r="AG122" s="6">
        <v>111381</v>
      </c>
      <c r="AH122" s="49">
        <v>139226</v>
      </c>
      <c r="AI122" s="8" t="s">
        <v>26</v>
      </c>
      <c r="AJ122" s="6">
        <v>114185</v>
      </c>
      <c r="AK122" s="49">
        <v>122241</v>
      </c>
      <c r="AL122" s="8" t="s">
        <v>26</v>
      </c>
      <c r="AM122" s="6">
        <v>148808</v>
      </c>
      <c r="AN122" s="49">
        <v>164660</v>
      </c>
      <c r="AO122" s="8" t="s">
        <v>26</v>
      </c>
      <c r="AP122" s="6">
        <v>65517</v>
      </c>
      <c r="AQ122" s="49">
        <v>51314</v>
      </c>
      <c r="AR122" s="8" t="s">
        <v>26</v>
      </c>
      <c r="AS122" s="6">
        <v>58083</v>
      </c>
      <c r="AT122" s="49">
        <v>51525</v>
      </c>
      <c r="AU122" s="8" t="s">
        <v>26</v>
      </c>
      <c r="AV122" s="6">
        <v>53184</v>
      </c>
      <c r="AW122" s="49">
        <v>33774</v>
      </c>
      <c r="AX122" s="57"/>
      <c r="AY122" s="57"/>
      <c r="AZ122" s="58"/>
    </row>
    <row r="123" spans="1:52" ht="15.75" x14ac:dyDescent="0.25">
      <c r="A123" s="148"/>
      <c r="B123" s="137"/>
      <c r="C123" s="141"/>
      <c r="D123" s="137"/>
      <c r="E123" s="137"/>
      <c r="F123" s="137"/>
      <c r="G123" s="137"/>
      <c r="H123" s="141"/>
      <c r="I123" s="141"/>
      <c r="J123" s="141"/>
      <c r="K123" s="137"/>
      <c r="L123" s="137"/>
      <c r="M123" s="137"/>
      <c r="N123" s="137"/>
      <c r="O123" s="141"/>
      <c r="P123" s="141"/>
      <c r="Q123" s="141"/>
      <c r="R123" s="141"/>
      <c r="S123" s="189"/>
      <c r="T123" s="213"/>
      <c r="U123" s="189"/>
      <c r="V123" s="189"/>
      <c r="W123" s="214"/>
      <c r="X123" s="189"/>
      <c r="Y123" s="215"/>
      <c r="Z123" s="57"/>
      <c r="AA123" s="57"/>
      <c r="AB123" s="58"/>
      <c r="AC123" s="57"/>
      <c r="AD123" s="57"/>
      <c r="AE123" s="58"/>
      <c r="AF123" s="57"/>
      <c r="AG123" s="57"/>
      <c r="AH123" s="58"/>
      <c r="AI123" s="57"/>
      <c r="AJ123" s="57"/>
      <c r="AK123" s="58"/>
      <c r="AL123" s="57"/>
      <c r="AM123" s="57"/>
      <c r="AN123" s="58"/>
      <c r="AO123" s="57"/>
      <c r="AP123" s="57"/>
      <c r="AQ123" s="58"/>
      <c r="AR123" s="57"/>
      <c r="AS123" s="57"/>
      <c r="AT123" s="58"/>
      <c r="AU123" s="57"/>
      <c r="AV123" s="57"/>
      <c r="AW123" s="58"/>
      <c r="AX123" s="57"/>
      <c r="AY123" s="57"/>
      <c r="AZ123" s="58"/>
    </row>
    <row r="124" spans="1:52" s="469" customFormat="1" ht="72" x14ac:dyDescent="0.25">
      <c r="A124" s="520">
        <v>23</v>
      </c>
      <c r="B124" s="137" t="s">
        <v>92</v>
      </c>
      <c r="C124" s="141" t="s">
        <v>498</v>
      </c>
      <c r="D124" s="137" t="s">
        <v>446</v>
      </c>
      <c r="E124" s="137" t="s">
        <v>492</v>
      </c>
      <c r="F124" s="137" t="s">
        <v>493</v>
      </c>
      <c r="G124" s="137" t="s">
        <v>306</v>
      </c>
      <c r="H124" s="141" t="s">
        <v>499</v>
      </c>
      <c r="I124" s="141" t="s">
        <v>495</v>
      </c>
      <c r="J124" s="141" t="s">
        <v>500</v>
      </c>
      <c r="K124" s="137" t="s">
        <v>501</v>
      </c>
      <c r="L124" s="137"/>
      <c r="M124" s="137" t="s">
        <v>285</v>
      </c>
      <c r="N124" s="137" t="s">
        <v>286</v>
      </c>
      <c r="O124" s="141" t="s">
        <v>409</v>
      </c>
      <c r="P124" s="141" t="s">
        <v>350</v>
      </c>
      <c r="Q124" s="141"/>
      <c r="R124" s="141" t="s">
        <v>960</v>
      </c>
      <c r="S124" s="189" t="s">
        <v>794</v>
      </c>
      <c r="T124" s="213" t="s">
        <v>794</v>
      </c>
      <c r="U124" s="189"/>
      <c r="V124" s="189"/>
      <c r="W124" s="214"/>
      <c r="X124" s="189"/>
      <c r="Y124" s="215"/>
      <c r="Z124" s="691" t="s">
        <v>914</v>
      </c>
      <c r="AA124" s="714" t="s">
        <v>915</v>
      </c>
      <c r="AB124" s="715" t="s">
        <v>916</v>
      </c>
      <c r="AC124" s="691" t="s">
        <v>914</v>
      </c>
      <c r="AD124" s="714" t="s">
        <v>915</v>
      </c>
      <c r="AE124" s="715" t="s">
        <v>916</v>
      </c>
      <c r="AF124" s="691" t="s">
        <v>914</v>
      </c>
      <c r="AG124" s="714" t="s">
        <v>915</v>
      </c>
      <c r="AH124" s="715" t="s">
        <v>916</v>
      </c>
      <c r="AI124" s="700" t="s">
        <v>914</v>
      </c>
      <c r="AJ124" s="716" t="s">
        <v>915</v>
      </c>
      <c r="AK124" s="717" t="s">
        <v>916</v>
      </c>
      <c r="AL124" s="700" t="s">
        <v>914</v>
      </c>
      <c r="AM124" s="716" t="s">
        <v>915</v>
      </c>
      <c r="AN124" s="717" t="s">
        <v>916</v>
      </c>
      <c r="AO124" s="700" t="s">
        <v>914</v>
      </c>
      <c r="AP124" s="716" t="s">
        <v>915</v>
      </c>
      <c r="AQ124" s="717" t="s">
        <v>916</v>
      </c>
      <c r="AR124" s="700" t="s">
        <v>914</v>
      </c>
      <c r="AS124" s="716" t="s">
        <v>915</v>
      </c>
      <c r="AT124" s="717" t="s">
        <v>916</v>
      </c>
      <c r="AU124" s="700" t="s">
        <v>914</v>
      </c>
      <c r="AV124" s="716" t="s">
        <v>915</v>
      </c>
      <c r="AW124" s="717" t="s">
        <v>916</v>
      </c>
      <c r="AX124" s="700" t="s">
        <v>914</v>
      </c>
      <c r="AY124" s="716" t="s">
        <v>915</v>
      </c>
      <c r="AZ124" s="717" t="s">
        <v>916</v>
      </c>
    </row>
    <row r="125" spans="1:52" s="534" customFormat="1" ht="15.75" x14ac:dyDescent="0.25">
      <c r="A125" s="524"/>
      <c r="B125" s="269"/>
      <c r="C125" s="525"/>
      <c r="D125" s="375"/>
      <c r="E125" s="375"/>
      <c r="F125" s="375"/>
      <c r="G125" s="375"/>
      <c r="H125" s="525"/>
      <c r="I125" s="525"/>
      <c r="J125" s="525"/>
      <c r="K125" s="375"/>
      <c r="L125" s="375"/>
      <c r="M125" s="375"/>
      <c r="N125" s="375"/>
      <c r="O125" s="525"/>
      <c r="P125" s="525"/>
      <c r="Q125" s="525"/>
      <c r="R125" s="525"/>
      <c r="S125" s="526"/>
      <c r="T125" s="527"/>
      <c r="U125" s="526"/>
      <c r="V125" s="526"/>
      <c r="W125" s="528"/>
      <c r="X125" s="526"/>
      <c r="Y125" s="529"/>
      <c r="Z125" s="530">
        <v>-1E-3</v>
      </c>
      <c r="AA125" s="530">
        <v>-2.3099999999999999E-2</v>
      </c>
      <c r="AB125" s="533">
        <v>-1.3899999999999999E-2</v>
      </c>
      <c r="AC125" s="530">
        <v>3.2000000000000001E-2</v>
      </c>
      <c r="AD125" s="530">
        <v>3.4099999999999998E-2</v>
      </c>
      <c r="AE125" s="533">
        <v>-8.4199999999999997E-2</v>
      </c>
      <c r="AF125" s="530">
        <v>-4.0000000000000001E-3</v>
      </c>
      <c r="AG125" s="530">
        <v>-3.2199999999999999E-2</v>
      </c>
      <c r="AH125" s="533">
        <v>4.4200000000000003E-2</v>
      </c>
      <c r="AI125" s="530">
        <v>-2.5000000000000001E-2</v>
      </c>
      <c r="AJ125" s="530">
        <v>-2.01E-2</v>
      </c>
      <c r="AK125" s="533">
        <v>-1.49E-2</v>
      </c>
      <c r="AL125" s="530">
        <v>-2E-3</v>
      </c>
      <c r="AM125" s="530">
        <v>-2.5899999999999999E-2</v>
      </c>
      <c r="AN125" s="535">
        <v>-4.5100000000000001E-2</v>
      </c>
      <c r="AO125" s="531">
        <v>-0.04</v>
      </c>
      <c r="AP125" s="530">
        <v>-9.1800000000000007E-2</v>
      </c>
      <c r="AQ125" s="533">
        <v>-1.72E-2</v>
      </c>
      <c r="AR125" s="530">
        <v>2.3E-2</v>
      </c>
      <c r="AS125" s="530">
        <v>-4.2500000000000003E-2</v>
      </c>
      <c r="AT125" s="533">
        <v>-2.1499999999999998E-2</v>
      </c>
      <c r="AU125" s="532">
        <v>0.01</v>
      </c>
      <c r="AV125" s="530">
        <v>-5.5399999999999998E-2</v>
      </c>
      <c r="AW125" s="533">
        <v>-4.0599999999999997E-2</v>
      </c>
      <c r="AX125" s="530">
        <v>3.9E-2</v>
      </c>
      <c r="AY125" s="530">
        <v>-9.6199999999999994E-2</v>
      </c>
      <c r="AZ125" s="533">
        <v>-5.3999999999999999E-2</v>
      </c>
    </row>
    <row r="126" spans="1:52" s="469" customFormat="1" ht="15.75" x14ac:dyDescent="0.25">
      <c r="A126" s="520"/>
      <c r="B126" s="137"/>
      <c r="C126" s="141"/>
      <c r="D126" s="137"/>
      <c r="E126" s="137"/>
      <c r="F126" s="137"/>
      <c r="G126" s="137"/>
      <c r="H126" s="141"/>
      <c r="I126" s="141"/>
      <c r="J126" s="141"/>
      <c r="K126" s="137"/>
      <c r="L126" s="137"/>
      <c r="M126" s="137"/>
      <c r="N126" s="137"/>
      <c r="O126" s="141"/>
      <c r="P126" s="141"/>
      <c r="Q126" s="141"/>
      <c r="R126" s="141"/>
      <c r="S126" s="189"/>
      <c r="T126" s="213"/>
      <c r="U126" s="189"/>
      <c r="V126" s="189"/>
      <c r="W126" s="214"/>
      <c r="X126" s="189"/>
      <c r="Y126" s="215"/>
      <c r="Z126" s="523"/>
      <c r="AA126" s="521"/>
      <c r="AB126" s="522"/>
      <c r="AC126" s="519"/>
      <c r="AD126" s="521"/>
      <c r="AE126" s="522"/>
      <c r="AF126" s="519"/>
      <c r="AG126" s="521"/>
      <c r="AH126" s="522"/>
      <c r="AI126" s="519"/>
      <c r="AJ126" s="521"/>
      <c r="AK126" s="522"/>
      <c r="AL126" s="519"/>
      <c r="AM126" s="521"/>
      <c r="AN126" s="522"/>
      <c r="AO126" s="519"/>
      <c r="AP126" s="521"/>
      <c r="AQ126" s="522"/>
      <c r="AR126" s="519"/>
      <c r="AS126" s="521"/>
      <c r="AT126" s="522"/>
      <c r="AU126" s="519"/>
      <c r="AV126" s="521"/>
      <c r="AW126" s="522"/>
      <c r="AX126" s="519"/>
      <c r="AY126" s="521"/>
      <c r="AZ126" s="522"/>
    </row>
    <row r="127" spans="1:52" s="412" customFormat="1" ht="60" x14ac:dyDescent="0.25">
      <c r="A127" s="407">
        <v>24</v>
      </c>
      <c r="B127" s="408" t="s">
        <v>93</v>
      </c>
      <c r="C127" s="409" t="s">
        <v>502</v>
      </c>
      <c r="D127" s="408" t="s">
        <v>446</v>
      </c>
      <c r="E127" s="408" t="s">
        <v>492</v>
      </c>
      <c r="F127" s="408" t="s">
        <v>493</v>
      </c>
      <c r="G127" s="408" t="s">
        <v>279</v>
      </c>
      <c r="H127" s="409" t="s">
        <v>494</v>
      </c>
      <c r="I127" s="409" t="s">
        <v>495</v>
      </c>
      <c r="J127" s="409" t="s">
        <v>503</v>
      </c>
      <c r="K127" s="408" t="s">
        <v>504</v>
      </c>
      <c r="L127" s="408"/>
      <c r="M127" s="408" t="s">
        <v>285</v>
      </c>
      <c r="N127" s="408" t="s">
        <v>286</v>
      </c>
      <c r="O127" s="409" t="s">
        <v>409</v>
      </c>
      <c r="P127" s="409" t="s">
        <v>350</v>
      </c>
      <c r="Q127" s="409"/>
      <c r="R127" s="409" t="s">
        <v>951</v>
      </c>
      <c r="S127" s="393" t="s">
        <v>794</v>
      </c>
      <c r="T127" s="394"/>
      <c r="U127" s="393" t="s">
        <v>794</v>
      </c>
      <c r="V127" s="393"/>
      <c r="W127" s="395"/>
      <c r="X127" s="393"/>
      <c r="Y127" s="396"/>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411"/>
    </row>
    <row r="128" spans="1:52" ht="60" x14ac:dyDescent="0.25">
      <c r="A128" s="148">
        <v>25</v>
      </c>
      <c r="B128" s="129" t="s">
        <v>98</v>
      </c>
      <c r="C128" s="130" t="s">
        <v>509</v>
      </c>
      <c r="D128" s="129" t="s">
        <v>446</v>
      </c>
      <c r="E128" s="129" t="s">
        <v>506</v>
      </c>
      <c r="F128" s="129" t="s">
        <v>493</v>
      </c>
      <c r="G128" s="129" t="s">
        <v>306</v>
      </c>
      <c r="H128" s="130" t="s">
        <v>510</v>
      </c>
      <c r="I128" s="130" t="s">
        <v>350</v>
      </c>
      <c r="J128" s="130" t="s">
        <v>350</v>
      </c>
      <c r="K128" s="129" t="s">
        <v>350</v>
      </c>
      <c r="L128" s="129"/>
      <c r="M128" s="129" t="s">
        <v>285</v>
      </c>
      <c r="N128" s="129" t="s">
        <v>286</v>
      </c>
      <c r="O128" s="130" t="s">
        <v>511</v>
      </c>
      <c r="P128" s="130" t="s">
        <v>350</v>
      </c>
      <c r="Q128" s="130"/>
      <c r="R128" s="141" t="s">
        <v>951</v>
      </c>
      <c r="S128" s="189"/>
      <c r="T128" s="213"/>
      <c r="U128" s="189" t="s">
        <v>794</v>
      </c>
      <c r="V128" s="189"/>
      <c r="W128" s="214"/>
      <c r="X128" s="189"/>
      <c r="Y128" s="215"/>
      <c r="Z128" s="57"/>
      <c r="AA128" s="57"/>
      <c r="AB128" s="57"/>
      <c r="AC128" s="57"/>
      <c r="AD128" s="57"/>
      <c r="AE128" s="57"/>
      <c r="AF128" s="57"/>
      <c r="AG128" s="57"/>
      <c r="AH128" s="57"/>
      <c r="AI128" s="57"/>
      <c r="AJ128" s="57"/>
      <c r="AK128" s="57"/>
      <c r="AL128" s="57"/>
      <c r="AM128" s="57"/>
      <c r="AN128" s="57"/>
      <c r="AO128" s="57"/>
      <c r="AP128" s="57"/>
      <c r="AQ128" s="57"/>
      <c r="AR128" s="8"/>
      <c r="AS128" s="57"/>
      <c r="AT128" s="57"/>
      <c r="AU128" s="57"/>
      <c r="AV128" s="57"/>
      <c r="AW128" s="57"/>
      <c r="AX128" s="57"/>
      <c r="AY128" s="57"/>
      <c r="AZ128" s="58"/>
    </row>
    <row r="129" spans="1:52" ht="60" x14ac:dyDescent="0.25">
      <c r="A129" s="148">
        <v>26</v>
      </c>
      <c r="B129" s="129" t="s">
        <v>99</v>
      </c>
      <c r="C129" s="130" t="s">
        <v>512</v>
      </c>
      <c r="D129" s="129" t="s">
        <v>446</v>
      </c>
      <c r="E129" s="129" t="s">
        <v>513</v>
      </c>
      <c r="F129" s="129" t="s">
        <v>493</v>
      </c>
      <c r="G129" s="129" t="s">
        <v>306</v>
      </c>
      <c r="H129" s="130" t="s">
        <v>514</v>
      </c>
      <c r="I129" s="130" t="s">
        <v>350</v>
      </c>
      <c r="J129" s="130" t="s">
        <v>350</v>
      </c>
      <c r="K129" s="129" t="s">
        <v>350</v>
      </c>
      <c r="L129" s="129"/>
      <c r="M129" s="129" t="s">
        <v>285</v>
      </c>
      <c r="N129" s="129" t="s">
        <v>515</v>
      </c>
      <c r="O129" s="130" t="s">
        <v>511</v>
      </c>
      <c r="P129" s="130" t="s">
        <v>350</v>
      </c>
      <c r="Q129" s="130"/>
      <c r="R129" s="141" t="s">
        <v>951</v>
      </c>
      <c r="S129" s="189"/>
      <c r="T129" s="213"/>
      <c r="U129" s="189"/>
      <c r="V129" s="189" t="s">
        <v>794</v>
      </c>
      <c r="W129" s="214"/>
      <c r="X129" s="189"/>
      <c r="Y129" s="215"/>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8"/>
    </row>
    <row r="130" spans="1:52" ht="156" x14ac:dyDescent="0.25">
      <c r="A130" s="148">
        <v>27</v>
      </c>
      <c r="B130" s="137" t="s">
        <v>100</v>
      </c>
      <c r="C130" s="141" t="s">
        <v>516</v>
      </c>
      <c r="D130" s="137" t="s">
        <v>446</v>
      </c>
      <c r="E130" s="137" t="s">
        <v>513</v>
      </c>
      <c r="F130" s="137" t="s">
        <v>493</v>
      </c>
      <c r="G130" s="137" t="s">
        <v>279</v>
      </c>
      <c r="H130" s="141" t="s">
        <v>878</v>
      </c>
      <c r="I130" s="141" t="s">
        <v>332</v>
      </c>
      <c r="J130" s="141" t="s">
        <v>333</v>
      </c>
      <c r="K130" s="137" t="s">
        <v>334</v>
      </c>
      <c r="L130" s="137"/>
      <c r="M130" s="137" t="s">
        <v>285</v>
      </c>
      <c r="N130" s="137" t="s">
        <v>286</v>
      </c>
      <c r="O130" s="141" t="s">
        <v>409</v>
      </c>
      <c r="P130" s="141" t="s">
        <v>350</v>
      </c>
      <c r="Q130" s="141"/>
      <c r="R130" s="141" t="s">
        <v>961</v>
      </c>
      <c r="S130" s="189" t="s">
        <v>794</v>
      </c>
      <c r="T130" s="213" t="s">
        <v>794</v>
      </c>
      <c r="U130" s="189"/>
      <c r="V130" s="189"/>
      <c r="W130" s="214"/>
      <c r="X130" s="189"/>
      <c r="Y130" s="215"/>
      <c r="Z130" s="849" t="s">
        <v>877</v>
      </c>
      <c r="AA130" s="850"/>
      <c r="AB130" s="850" t="s">
        <v>876</v>
      </c>
      <c r="AC130" s="850"/>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8"/>
    </row>
    <row r="131" spans="1:52" ht="15.75" x14ac:dyDescent="0.25">
      <c r="A131" s="148"/>
      <c r="B131" s="269" t="s">
        <v>3</v>
      </c>
      <c r="C131" s="141"/>
      <c r="D131" s="137"/>
      <c r="E131" s="137"/>
      <c r="F131" s="137"/>
      <c r="G131" s="137"/>
      <c r="H131" s="141"/>
      <c r="I131" s="141"/>
      <c r="J131" s="141"/>
      <c r="K131" s="137"/>
      <c r="L131" s="137"/>
      <c r="M131" s="137"/>
      <c r="N131" s="137"/>
      <c r="O131" s="141"/>
      <c r="P131" s="141"/>
      <c r="Q131" s="141"/>
      <c r="R131" s="141"/>
      <c r="S131" s="189"/>
      <c r="T131" s="213"/>
      <c r="U131" s="189"/>
      <c r="V131" s="189"/>
      <c r="W131" s="214"/>
      <c r="X131" s="189"/>
      <c r="Y131" s="215"/>
      <c r="Z131" s="851">
        <v>2.7</v>
      </c>
      <c r="AA131" s="852"/>
      <c r="AB131" s="852">
        <v>4.29</v>
      </c>
      <c r="AC131" s="852"/>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8"/>
    </row>
    <row r="132" spans="1:52" ht="15.75" x14ac:dyDescent="0.25">
      <c r="A132" s="148"/>
      <c r="B132" s="269" t="s">
        <v>4</v>
      </c>
      <c r="C132" s="141"/>
      <c r="D132" s="137"/>
      <c r="E132" s="137"/>
      <c r="F132" s="137"/>
      <c r="G132" s="137"/>
      <c r="H132" s="141"/>
      <c r="I132" s="141"/>
      <c r="J132" s="141"/>
      <c r="K132" s="137"/>
      <c r="L132" s="137"/>
      <c r="M132" s="137"/>
      <c r="N132" s="137"/>
      <c r="O132" s="141"/>
      <c r="P132" s="141"/>
      <c r="Q132" s="141"/>
      <c r="R132" s="141"/>
      <c r="S132" s="189"/>
      <c r="T132" s="213"/>
      <c r="U132" s="189"/>
      <c r="V132" s="189"/>
      <c r="W132" s="214"/>
      <c r="X132" s="189"/>
      <c r="Y132" s="215"/>
      <c r="Z132" s="851">
        <v>1.7</v>
      </c>
      <c r="AA132" s="852"/>
      <c r="AB132" s="852">
        <v>2.91</v>
      </c>
      <c r="AC132" s="852"/>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8"/>
    </row>
    <row r="133" spans="1:52" ht="15.75" x14ac:dyDescent="0.25">
      <c r="A133" s="148"/>
      <c r="B133" s="269" t="s">
        <v>5</v>
      </c>
      <c r="C133" s="141"/>
      <c r="D133" s="137"/>
      <c r="E133" s="137"/>
      <c r="F133" s="137"/>
      <c r="G133" s="137"/>
      <c r="H133" s="141"/>
      <c r="I133" s="141"/>
      <c r="J133" s="141"/>
      <c r="K133" s="137"/>
      <c r="L133" s="137"/>
      <c r="M133" s="137"/>
      <c r="N133" s="137"/>
      <c r="O133" s="141"/>
      <c r="P133" s="141"/>
      <c r="Q133" s="141"/>
      <c r="R133" s="141"/>
      <c r="S133" s="189"/>
      <c r="T133" s="213"/>
      <c r="U133" s="189"/>
      <c r="V133" s="189"/>
      <c r="W133" s="214"/>
      <c r="X133" s="189"/>
      <c r="Y133" s="215"/>
      <c r="Z133" s="851">
        <v>3.1</v>
      </c>
      <c r="AA133" s="852"/>
      <c r="AB133" s="852">
        <v>4.6900000000000004</v>
      </c>
      <c r="AC133" s="852"/>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8"/>
    </row>
    <row r="134" spans="1:52" ht="15.75" x14ac:dyDescent="0.25">
      <c r="A134" s="148"/>
      <c r="B134" s="269" t="s">
        <v>251</v>
      </c>
      <c r="C134" s="141"/>
      <c r="D134" s="137"/>
      <c r="E134" s="137"/>
      <c r="F134" s="137"/>
      <c r="G134" s="137"/>
      <c r="H134" s="141"/>
      <c r="I134" s="141"/>
      <c r="J134" s="141"/>
      <c r="K134" s="137"/>
      <c r="L134" s="137"/>
      <c r="M134" s="137"/>
      <c r="N134" s="137"/>
      <c r="O134" s="141"/>
      <c r="P134" s="141"/>
      <c r="Q134" s="141"/>
      <c r="R134" s="141"/>
      <c r="S134" s="189"/>
      <c r="T134" s="213"/>
      <c r="U134" s="189"/>
      <c r="V134" s="189"/>
      <c r="W134" s="214"/>
      <c r="X134" s="189"/>
      <c r="Y134" s="215"/>
      <c r="Z134" s="853">
        <v>3.7</v>
      </c>
      <c r="AA134" s="854"/>
      <c r="AB134" s="854">
        <v>7.13</v>
      </c>
      <c r="AC134" s="854"/>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8"/>
    </row>
    <row r="135" spans="1:52" ht="15.75" x14ac:dyDescent="0.25">
      <c r="A135" s="148"/>
      <c r="B135" s="269" t="s">
        <v>252</v>
      </c>
      <c r="C135" s="141"/>
      <c r="D135" s="137"/>
      <c r="E135" s="137"/>
      <c r="F135" s="137"/>
      <c r="G135" s="137"/>
      <c r="H135" s="141"/>
      <c r="I135" s="141"/>
      <c r="J135" s="141"/>
      <c r="K135" s="137"/>
      <c r="L135" s="137"/>
      <c r="M135" s="137"/>
      <c r="N135" s="137"/>
      <c r="O135" s="141"/>
      <c r="P135" s="141"/>
      <c r="Q135" s="141"/>
      <c r="R135" s="141"/>
      <c r="S135" s="189"/>
      <c r="T135" s="213"/>
      <c r="U135" s="189"/>
      <c r="V135" s="189"/>
      <c r="W135" s="214"/>
      <c r="X135" s="189"/>
      <c r="Y135" s="215"/>
      <c r="Z135" s="853">
        <v>2.7</v>
      </c>
      <c r="AA135" s="854"/>
      <c r="AB135" s="854">
        <v>3.84</v>
      </c>
      <c r="AC135" s="854"/>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8"/>
    </row>
    <row r="136" spans="1:52" ht="15.75" x14ac:dyDescent="0.25">
      <c r="A136" s="148"/>
      <c r="B136" s="269" t="s">
        <v>6</v>
      </c>
      <c r="C136" s="141"/>
      <c r="D136" s="137"/>
      <c r="E136" s="137"/>
      <c r="F136" s="137"/>
      <c r="G136" s="137"/>
      <c r="H136" s="141"/>
      <c r="I136" s="141"/>
      <c r="J136" s="141"/>
      <c r="K136" s="137"/>
      <c r="L136" s="137"/>
      <c r="M136" s="137"/>
      <c r="N136" s="137"/>
      <c r="O136" s="141"/>
      <c r="P136" s="141"/>
      <c r="Q136" s="141"/>
      <c r="R136" s="141"/>
      <c r="S136" s="189"/>
      <c r="T136" s="213"/>
      <c r="U136" s="189"/>
      <c r="V136" s="189"/>
      <c r="W136" s="214"/>
      <c r="X136" s="189"/>
      <c r="Y136" s="215"/>
      <c r="Z136" s="853">
        <v>3</v>
      </c>
      <c r="AA136" s="854"/>
      <c r="AB136" s="854">
        <v>5.1100000000000003</v>
      </c>
      <c r="AC136" s="854"/>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8"/>
    </row>
    <row r="137" spans="1:52" ht="15.75" x14ac:dyDescent="0.25">
      <c r="A137" s="148"/>
      <c r="B137" s="269" t="s">
        <v>8</v>
      </c>
      <c r="C137" s="141"/>
      <c r="D137" s="137"/>
      <c r="E137" s="137"/>
      <c r="F137" s="137"/>
      <c r="G137" s="137"/>
      <c r="H137" s="141"/>
      <c r="I137" s="141"/>
      <c r="J137" s="141"/>
      <c r="K137" s="137"/>
      <c r="L137" s="137"/>
      <c r="M137" s="137"/>
      <c r="N137" s="137"/>
      <c r="O137" s="141"/>
      <c r="P137" s="141"/>
      <c r="Q137" s="141"/>
      <c r="R137" s="141"/>
      <c r="S137" s="189"/>
      <c r="T137" s="213"/>
      <c r="U137" s="189"/>
      <c r="V137" s="189"/>
      <c r="W137" s="214"/>
      <c r="X137" s="189"/>
      <c r="Y137" s="215"/>
      <c r="Z137" s="853">
        <v>3</v>
      </c>
      <c r="AA137" s="854"/>
      <c r="AB137" s="854">
        <v>4.66</v>
      </c>
      <c r="AC137" s="854"/>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8"/>
    </row>
    <row r="138" spans="1:52" ht="15.75" x14ac:dyDescent="0.25">
      <c r="A138" s="148"/>
      <c r="B138" s="269" t="s">
        <v>7</v>
      </c>
      <c r="C138" s="141"/>
      <c r="D138" s="137"/>
      <c r="E138" s="137"/>
      <c r="F138" s="137"/>
      <c r="G138" s="137"/>
      <c r="H138" s="141"/>
      <c r="I138" s="141"/>
      <c r="J138" s="141"/>
      <c r="K138" s="137"/>
      <c r="L138" s="137"/>
      <c r="M138" s="137"/>
      <c r="N138" s="137"/>
      <c r="O138" s="141"/>
      <c r="P138" s="141"/>
      <c r="Q138" s="141"/>
      <c r="R138" s="141"/>
      <c r="S138" s="189"/>
      <c r="T138" s="213"/>
      <c r="U138" s="189"/>
      <c r="V138" s="189"/>
      <c r="W138" s="214"/>
      <c r="X138" s="189"/>
      <c r="Y138" s="215"/>
      <c r="Z138" s="853">
        <v>3.7</v>
      </c>
      <c r="AA138" s="854"/>
      <c r="AB138" s="854">
        <v>3.15</v>
      </c>
      <c r="AC138" s="854"/>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8"/>
    </row>
    <row r="139" spans="1:52" ht="15.75" x14ac:dyDescent="0.25">
      <c r="A139" s="148"/>
      <c r="B139" s="270" t="s">
        <v>800</v>
      </c>
      <c r="C139" s="141"/>
      <c r="D139" s="137"/>
      <c r="E139" s="137"/>
      <c r="F139" s="137"/>
      <c r="G139" s="137"/>
      <c r="H139" s="141"/>
      <c r="I139" s="141"/>
      <c r="J139" s="141"/>
      <c r="K139" s="137"/>
      <c r="L139" s="137"/>
      <c r="M139" s="137"/>
      <c r="N139" s="137"/>
      <c r="O139" s="141"/>
      <c r="P139" s="141"/>
      <c r="Q139" s="141"/>
      <c r="R139" s="141"/>
      <c r="S139" s="189"/>
      <c r="T139" s="213"/>
      <c r="U139" s="189"/>
      <c r="V139" s="189"/>
      <c r="W139" s="214"/>
      <c r="X139" s="189"/>
      <c r="Y139" s="215"/>
      <c r="Z139" s="853">
        <v>3.9</v>
      </c>
      <c r="AA139" s="854"/>
      <c r="AB139" s="854">
        <v>4.8899999999999997</v>
      </c>
      <c r="AC139" s="854"/>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8"/>
    </row>
    <row r="140" spans="1:52" ht="15.75" x14ac:dyDescent="0.25">
      <c r="A140" s="148"/>
      <c r="B140" s="137"/>
      <c r="C140" s="141"/>
      <c r="D140" s="137"/>
      <c r="E140" s="137"/>
      <c r="F140" s="137"/>
      <c r="G140" s="137"/>
      <c r="H140" s="141"/>
      <c r="I140" s="141"/>
      <c r="J140" s="141"/>
      <c r="K140" s="137"/>
      <c r="L140" s="137"/>
      <c r="M140" s="137"/>
      <c r="N140" s="137"/>
      <c r="O140" s="141"/>
      <c r="P140" s="141"/>
      <c r="Q140" s="141"/>
      <c r="R140" s="141"/>
      <c r="S140" s="189"/>
      <c r="T140" s="213"/>
      <c r="U140" s="189"/>
      <c r="V140" s="189"/>
      <c r="W140" s="214"/>
      <c r="X140" s="189"/>
      <c r="Y140" s="215"/>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8"/>
    </row>
    <row r="141" spans="1:52" s="412" customFormat="1" ht="60" x14ac:dyDescent="0.25">
      <c r="A141" s="407">
        <v>28</v>
      </c>
      <c r="B141" s="408" t="s">
        <v>101</v>
      </c>
      <c r="C141" s="409" t="s">
        <v>518</v>
      </c>
      <c r="D141" s="408" t="s">
        <v>446</v>
      </c>
      <c r="E141" s="408" t="s">
        <v>513</v>
      </c>
      <c r="F141" s="408" t="s">
        <v>493</v>
      </c>
      <c r="G141" s="408" t="s">
        <v>306</v>
      </c>
      <c r="H141" s="409" t="s">
        <v>519</v>
      </c>
      <c r="I141" s="409" t="s">
        <v>495</v>
      </c>
      <c r="J141" s="409" t="s">
        <v>507</v>
      </c>
      <c r="K141" s="408" t="s">
        <v>508</v>
      </c>
      <c r="L141" s="408"/>
      <c r="M141" s="408" t="s">
        <v>285</v>
      </c>
      <c r="N141" s="408" t="s">
        <v>286</v>
      </c>
      <c r="O141" s="409" t="s">
        <v>409</v>
      </c>
      <c r="P141" s="409" t="s">
        <v>350</v>
      </c>
      <c r="Q141" s="409"/>
      <c r="R141" s="409" t="s">
        <v>962</v>
      </c>
      <c r="S141" s="393" t="s">
        <v>794</v>
      </c>
      <c r="T141" s="394"/>
      <c r="U141" s="393" t="s">
        <v>794</v>
      </c>
      <c r="V141" s="393"/>
      <c r="W141" s="395"/>
      <c r="X141" s="393"/>
      <c r="Y141" s="396"/>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1"/>
    </row>
    <row r="142" spans="1:52" s="412" customFormat="1" ht="60" x14ac:dyDescent="0.25">
      <c r="A142" s="407">
        <v>29</v>
      </c>
      <c r="B142" s="408" t="s">
        <v>102</v>
      </c>
      <c r="C142" s="409" t="s">
        <v>520</v>
      </c>
      <c r="D142" s="408" t="s">
        <v>446</v>
      </c>
      <c r="E142" s="408" t="s">
        <v>521</v>
      </c>
      <c r="F142" s="408" t="s">
        <v>493</v>
      </c>
      <c r="G142" s="408" t="s">
        <v>306</v>
      </c>
      <c r="H142" s="409" t="s">
        <v>401</v>
      </c>
      <c r="I142" s="409" t="s">
        <v>402</v>
      </c>
      <c r="J142" s="409" t="s">
        <v>350</v>
      </c>
      <c r="K142" s="408" t="s">
        <v>350</v>
      </c>
      <c r="L142" s="408"/>
      <c r="M142" s="408" t="s">
        <v>285</v>
      </c>
      <c r="N142" s="408" t="s">
        <v>286</v>
      </c>
      <c r="O142" s="409" t="s">
        <v>409</v>
      </c>
      <c r="P142" s="409" t="s">
        <v>350</v>
      </c>
      <c r="Q142" s="409"/>
      <c r="R142" s="409" t="s">
        <v>963</v>
      </c>
      <c r="S142" s="393" t="s">
        <v>794</v>
      </c>
      <c r="T142" s="394"/>
      <c r="U142" s="393" t="s">
        <v>794</v>
      </c>
      <c r="V142" s="393"/>
      <c r="W142" s="395"/>
      <c r="X142" s="393"/>
      <c r="Y142" s="396"/>
      <c r="Z142" s="410"/>
      <c r="AA142" s="410"/>
      <c r="AB142" s="410"/>
      <c r="AC142" s="410"/>
      <c r="AD142" s="410"/>
      <c r="AE142" s="410"/>
      <c r="AF142" s="410"/>
      <c r="AG142" s="410"/>
      <c r="AH142" s="410"/>
      <c r="AI142" s="410"/>
      <c r="AJ142" s="410"/>
      <c r="AK142" s="410"/>
      <c r="AL142" s="410"/>
      <c r="AM142" s="410"/>
      <c r="AN142" s="410"/>
      <c r="AO142" s="410"/>
      <c r="AP142" s="410"/>
      <c r="AQ142" s="410"/>
      <c r="AR142" s="410"/>
      <c r="AS142" s="410"/>
      <c r="AT142" s="410"/>
      <c r="AU142" s="410"/>
      <c r="AV142" s="410"/>
      <c r="AW142" s="410"/>
      <c r="AX142" s="410"/>
      <c r="AY142" s="410"/>
      <c r="AZ142" s="411"/>
    </row>
    <row r="143" spans="1:52" ht="60" x14ac:dyDescent="0.25">
      <c r="A143" s="148">
        <v>30</v>
      </c>
      <c r="B143" s="129" t="s">
        <v>103</v>
      </c>
      <c r="C143" s="130" t="s">
        <v>522</v>
      </c>
      <c r="D143" s="129" t="s">
        <v>446</v>
      </c>
      <c r="E143" s="129" t="s">
        <v>523</v>
      </c>
      <c r="F143" s="129" t="s">
        <v>493</v>
      </c>
      <c r="G143" s="129" t="s">
        <v>306</v>
      </c>
      <c r="H143" s="130" t="s">
        <v>517</v>
      </c>
      <c r="I143" s="130" t="s">
        <v>332</v>
      </c>
      <c r="J143" s="130" t="s">
        <v>333</v>
      </c>
      <c r="K143" s="129" t="s">
        <v>334</v>
      </c>
      <c r="L143" s="129"/>
      <c r="M143" s="129" t="s">
        <v>285</v>
      </c>
      <c r="N143" s="129" t="s">
        <v>286</v>
      </c>
      <c r="O143" s="130" t="s">
        <v>409</v>
      </c>
      <c r="P143" s="130" t="s">
        <v>350</v>
      </c>
      <c r="Q143" s="130"/>
      <c r="R143" s="141" t="s">
        <v>963</v>
      </c>
      <c r="S143" s="189"/>
      <c r="T143" s="213"/>
      <c r="U143" s="189" t="s">
        <v>794</v>
      </c>
      <c r="V143" s="189"/>
      <c r="W143" s="214"/>
      <c r="X143" s="189"/>
      <c r="Y143" s="215"/>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8"/>
    </row>
    <row r="144" spans="1:52" s="412" customFormat="1" ht="60" x14ac:dyDescent="0.25">
      <c r="A144" s="407">
        <v>31</v>
      </c>
      <c r="B144" s="408" t="s">
        <v>104</v>
      </c>
      <c r="C144" s="409" t="s">
        <v>524</v>
      </c>
      <c r="D144" s="408" t="s">
        <v>446</v>
      </c>
      <c r="E144" s="408" t="s">
        <v>523</v>
      </c>
      <c r="F144" s="408" t="s">
        <v>493</v>
      </c>
      <c r="G144" s="408" t="s">
        <v>279</v>
      </c>
      <c r="H144" s="409" t="s">
        <v>353</v>
      </c>
      <c r="I144" s="409" t="s">
        <v>332</v>
      </c>
      <c r="J144" s="409" t="s">
        <v>333</v>
      </c>
      <c r="K144" s="408" t="s">
        <v>334</v>
      </c>
      <c r="L144" s="408"/>
      <c r="M144" s="408" t="s">
        <v>285</v>
      </c>
      <c r="N144" s="408" t="s">
        <v>286</v>
      </c>
      <c r="O144" s="409" t="s">
        <v>409</v>
      </c>
      <c r="P144" s="409" t="s">
        <v>350</v>
      </c>
      <c r="Q144" s="409"/>
      <c r="R144" s="409" t="s">
        <v>963</v>
      </c>
      <c r="S144" s="393" t="s">
        <v>794</v>
      </c>
      <c r="T144" s="394"/>
      <c r="U144" s="393" t="s">
        <v>794</v>
      </c>
      <c r="V144" s="393"/>
      <c r="W144" s="395"/>
      <c r="X144" s="393"/>
      <c r="Y144" s="396"/>
      <c r="Z144" s="410"/>
      <c r="AA144" s="410"/>
      <c r="AB144" s="410"/>
      <c r="AC144" s="410"/>
      <c r="AD144" s="410"/>
      <c r="AE144" s="410"/>
      <c r="AF144" s="410"/>
      <c r="AG144" s="410"/>
      <c r="AH144" s="410"/>
      <c r="AI144" s="410"/>
      <c r="AJ144" s="410"/>
      <c r="AK144" s="410"/>
      <c r="AL144" s="410"/>
      <c r="AM144" s="410"/>
      <c r="AN144" s="410"/>
      <c r="AO144" s="410"/>
      <c r="AP144" s="410"/>
      <c r="AQ144" s="410"/>
      <c r="AR144" s="410"/>
      <c r="AS144" s="410"/>
      <c r="AT144" s="410"/>
      <c r="AU144" s="410"/>
      <c r="AV144" s="410"/>
      <c r="AW144" s="410"/>
      <c r="AX144" s="410"/>
      <c r="AY144" s="410"/>
      <c r="AZ144" s="411"/>
    </row>
    <row r="145" spans="1:52" ht="60" x14ac:dyDescent="0.25">
      <c r="A145" s="148">
        <v>32</v>
      </c>
      <c r="B145" s="129" t="s">
        <v>105</v>
      </c>
      <c r="C145" s="130" t="s">
        <v>525</v>
      </c>
      <c r="D145" s="129" t="s">
        <v>446</v>
      </c>
      <c r="E145" s="129" t="s">
        <v>523</v>
      </c>
      <c r="F145" s="129" t="s">
        <v>493</v>
      </c>
      <c r="G145" s="129" t="s">
        <v>306</v>
      </c>
      <c r="H145" s="130" t="s">
        <v>517</v>
      </c>
      <c r="I145" s="130" t="s">
        <v>332</v>
      </c>
      <c r="J145" s="130" t="s">
        <v>333</v>
      </c>
      <c r="K145" s="129" t="s">
        <v>334</v>
      </c>
      <c r="L145" s="129"/>
      <c r="M145" s="129" t="s">
        <v>526</v>
      </c>
      <c r="N145" s="129" t="s">
        <v>515</v>
      </c>
      <c r="O145" s="130" t="s">
        <v>409</v>
      </c>
      <c r="P145" s="130" t="s">
        <v>350</v>
      </c>
      <c r="Q145" s="130"/>
      <c r="R145" s="141" t="s">
        <v>963</v>
      </c>
      <c r="S145" s="189"/>
      <c r="T145" s="213"/>
      <c r="U145" s="189" t="s">
        <v>794</v>
      </c>
      <c r="V145" s="189"/>
      <c r="W145" s="214"/>
      <c r="X145" s="189"/>
      <c r="Y145" s="215"/>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8"/>
    </row>
    <row r="146" spans="1:52" ht="60" x14ac:dyDescent="0.25">
      <c r="A146" s="148">
        <v>33</v>
      </c>
      <c r="B146" s="129" t="s">
        <v>106</v>
      </c>
      <c r="C146" s="130" t="s">
        <v>527</v>
      </c>
      <c r="D146" s="129" t="s">
        <v>446</v>
      </c>
      <c r="E146" s="129" t="s">
        <v>528</v>
      </c>
      <c r="F146" s="129" t="s">
        <v>493</v>
      </c>
      <c r="G146" s="129" t="s">
        <v>279</v>
      </c>
      <c r="H146" s="130" t="s">
        <v>529</v>
      </c>
      <c r="I146" s="130" t="s">
        <v>350</v>
      </c>
      <c r="J146" s="130" t="s">
        <v>350</v>
      </c>
      <c r="K146" s="129" t="s">
        <v>350</v>
      </c>
      <c r="L146" s="129"/>
      <c r="M146" s="129" t="s">
        <v>285</v>
      </c>
      <c r="N146" s="129" t="s">
        <v>286</v>
      </c>
      <c r="O146" s="130" t="s">
        <v>409</v>
      </c>
      <c r="P146" s="130" t="s">
        <v>350</v>
      </c>
      <c r="Q146" s="130"/>
      <c r="R146" s="141" t="s">
        <v>963</v>
      </c>
      <c r="S146" s="189"/>
      <c r="T146" s="213"/>
      <c r="U146" s="189" t="s">
        <v>794</v>
      </c>
      <c r="V146" s="189"/>
      <c r="W146" s="214"/>
      <c r="X146" s="189"/>
      <c r="Y146" s="215"/>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8"/>
    </row>
    <row r="147" spans="1:52" ht="60" x14ac:dyDescent="0.25">
      <c r="A147" s="148">
        <v>34</v>
      </c>
      <c r="B147" s="129" t="s">
        <v>107</v>
      </c>
      <c r="C147" s="130" t="s">
        <v>530</v>
      </c>
      <c r="D147" s="129" t="s">
        <v>446</v>
      </c>
      <c r="E147" s="129" t="s">
        <v>528</v>
      </c>
      <c r="F147" s="129" t="s">
        <v>493</v>
      </c>
      <c r="G147" s="129" t="s">
        <v>279</v>
      </c>
      <c r="H147" s="130" t="s">
        <v>529</v>
      </c>
      <c r="I147" s="130" t="s">
        <v>350</v>
      </c>
      <c r="J147" s="130" t="s">
        <v>350</v>
      </c>
      <c r="K147" s="129" t="s">
        <v>350</v>
      </c>
      <c r="L147" s="129"/>
      <c r="M147" s="129" t="s">
        <v>285</v>
      </c>
      <c r="N147" s="129" t="s">
        <v>286</v>
      </c>
      <c r="O147" s="130" t="s">
        <v>511</v>
      </c>
      <c r="P147" s="130" t="s">
        <v>350</v>
      </c>
      <c r="Q147" s="130"/>
      <c r="R147" s="141" t="s">
        <v>963</v>
      </c>
      <c r="S147" s="189"/>
      <c r="T147" s="213"/>
      <c r="U147" s="189" t="s">
        <v>794</v>
      </c>
      <c r="V147" s="189"/>
      <c r="W147" s="214"/>
      <c r="X147" s="189"/>
      <c r="Y147" s="215"/>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8"/>
    </row>
    <row r="148" spans="1:52" ht="60" x14ac:dyDescent="0.25">
      <c r="A148" s="148">
        <v>35</v>
      </c>
      <c r="B148" s="130" t="s">
        <v>108</v>
      </c>
      <c r="C148" s="130" t="s">
        <v>531</v>
      </c>
      <c r="D148" s="129" t="s">
        <v>446</v>
      </c>
      <c r="E148" s="129" t="s">
        <v>532</v>
      </c>
      <c r="F148" s="129" t="s">
        <v>493</v>
      </c>
      <c r="G148" s="129" t="s">
        <v>279</v>
      </c>
      <c r="H148" s="130" t="s">
        <v>285</v>
      </c>
      <c r="I148" s="130" t="s">
        <v>350</v>
      </c>
      <c r="J148" s="130" t="s">
        <v>350</v>
      </c>
      <c r="K148" s="129" t="s">
        <v>350</v>
      </c>
      <c r="L148" s="129"/>
      <c r="M148" s="129" t="s">
        <v>285</v>
      </c>
      <c r="N148" s="129" t="s">
        <v>286</v>
      </c>
      <c r="O148" s="130" t="s">
        <v>480</v>
      </c>
      <c r="P148" s="130" t="s">
        <v>533</v>
      </c>
      <c r="Q148" s="130"/>
      <c r="R148" s="141" t="s">
        <v>963</v>
      </c>
      <c r="S148" s="189"/>
      <c r="T148" s="213"/>
      <c r="U148" s="189" t="s">
        <v>794</v>
      </c>
      <c r="V148" s="189"/>
      <c r="W148" s="214"/>
      <c r="X148" s="189"/>
      <c r="Y148" s="215"/>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8"/>
    </row>
    <row r="149" spans="1:52" s="412" customFormat="1" ht="60" x14ac:dyDescent="0.25">
      <c r="A149" s="407">
        <v>36</v>
      </c>
      <c r="B149" s="409" t="s">
        <v>109</v>
      </c>
      <c r="C149" s="409" t="s">
        <v>534</v>
      </c>
      <c r="D149" s="408" t="s">
        <v>446</v>
      </c>
      <c r="E149" s="408" t="s">
        <v>532</v>
      </c>
      <c r="F149" s="408" t="s">
        <v>493</v>
      </c>
      <c r="G149" s="408" t="s">
        <v>279</v>
      </c>
      <c r="H149" s="409" t="s">
        <v>535</v>
      </c>
      <c r="I149" s="409" t="s">
        <v>350</v>
      </c>
      <c r="J149" s="409" t="s">
        <v>350</v>
      </c>
      <c r="K149" s="408" t="s">
        <v>350</v>
      </c>
      <c r="L149" s="408"/>
      <c r="M149" s="408" t="s">
        <v>285</v>
      </c>
      <c r="N149" s="408" t="s">
        <v>286</v>
      </c>
      <c r="O149" s="409" t="s">
        <v>409</v>
      </c>
      <c r="P149" s="409" t="s">
        <v>536</v>
      </c>
      <c r="Q149" s="409"/>
      <c r="R149" s="409" t="s">
        <v>963</v>
      </c>
      <c r="S149" s="393" t="s">
        <v>794</v>
      </c>
      <c r="T149" s="394"/>
      <c r="U149" s="393" t="s">
        <v>794</v>
      </c>
      <c r="V149" s="393"/>
      <c r="W149" s="395"/>
      <c r="X149" s="393"/>
      <c r="Y149" s="396"/>
      <c r="Z149" s="410"/>
      <c r="AA149" s="410"/>
      <c r="AB149" s="410"/>
      <c r="AC149" s="410"/>
      <c r="AD149" s="410"/>
      <c r="AE149" s="410"/>
      <c r="AF149" s="410"/>
      <c r="AG149" s="410"/>
      <c r="AH149" s="410"/>
      <c r="AI149" s="410"/>
      <c r="AJ149" s="410"/>
      <c r="AK149" s="410"/>
      <c r="AL149" s="410"/>
      <c r="AM149" s="410"/>
      <c r="AN149" s="410"/>
      <c r="AO149" s="410"/>
      <c r="AP149" s="410"/>
      <c r="AQ149" s="410"/>
      <c r="AR149" s="410"/>
      <c r="AS149" s="410"/>
      <c r="AT149" s="410"/>
      <c r="AU149" s="410"/>
      <c r="AV149" s="410"/>
      <c r="AW149" s="410"/>
      <c r="AX149" s="410"/>
      <c r="AY149" s="410"/>
      <c r="AZ149" s="411"/>
    </row>
    <row r="150" spans="1:52" s="412" customFormat="1" ht="60" x14ac:dyDescent="0.25">
      <c r="A150" s="407">
        <v>37</v>
      </c>
      <c r="B150" s="413" t="s">
        <v>110</v>
      </c>
      <c r="C150" s="414" t="s">
        <v>537</v>
      </c>
      <c r="D150" s="413" t="s">
        <v>446</v>
      </c>
      <c r="E150" s="413" t="s">
        <v>513</v>
      </c>
      <c r="F150" s="413" t="s">
        <v>538</v>
      </c>
      <c r="G150" s="413" t="s">
        <v>279</v>
      </c>
      <c r="H150" s="414" t="s">
        <v>539</v>
      </c>
      <c r="I150" s="414" t="s">
        <v>540</v>
      </c>
      <c r="J150" s="414" t="s">
        <v>541</v>
      </c>
      <c r="K150" s="413" t="s">
        <v>542</v>
      </c>
      <c r="L150" s="413"/>
      <c r="M150" s="413" t="s">
        <v>285</v>
      </c>
      <c r="N150" s="413" t="s">
        <v>286</v>
      </c>
      <c r="O150" s="414" t="s">
        <v>511</v>
      </c>
      <c r="P150" s="414" t="s">
        <v>350</v>
      </c>
      <c r="Q150" s="414"/>
      <c r="R150" s="409" t="s">
        <v>963</v>
      </c>
      <c r="S150" s="393" t="s">
        <v>794</v>
      </c>
      <c r="T150" s="394"/>
      <c r="U150" s="393" t="s">
        <v>794</v>
      </c>
      <c r="V150" s="393"/>
      <c r="W150" s="395"/>
      <c r="X150" s="393"/>
      <c r="Y150" s="396"/>
      <c r="Z150" s="410"/>
      <c r="AA150" s="410"/>
      <c r="AB150" s="410"/>
      <c r="AC150" s="410"/>
      <c r="AD150" s="410"/>
      <c r="AE150" s="410"/>
      <c r="AF150" s="410"/>
      <c r="AG150" s="410"/>
      <c r="AH150" s="410"/>
      <c r="AI150" s="410"/>
      <c r="AJ150" s="410"/>
      <c r="AK150" s="410"/>
      <c r="AL150" s="410"/>
      <c r="AM150" s="410"/>
      <c r="AN150" s="410"/>
      <c r="AO150" s="410"/>
      <c r="AP150" s="410"/>
      <c r="AQ150" s="410"/>
      <c r="AR150" s="410"/>
      <c r="AS150" s="410"/>
      <c r="AT150" s="410"/>
      <c r="AU150" s="410"/>
      <c r="AV150" s="410"/>
      <c r="AW150" s="410"/>
      <c r="AX150" s="410"/>
      <c r="AY150" s="410"/>
      <c r="AZ150" s="411"/>
    </row>
    <row r="151" spans="1:52" ht="60" x14ac:dyDescent="0.25">
      <c r="A151" s="148">
        <v>38</v>
      </c>
      <c r="B151" s="129" t="s">
        <v>111</v>
      </c>
      <c r="C151" s="130" t="s">
        <v>543</v>
      </c>
      <c r="D151" s="129" t="s">
        <v>446</v>
      </c>
      <c r="E151" s="129" t="s">
        <v>544</v>
      </c>
      <c r="F151" s="129" t="s">
        <v>538</v>
      </c>
      <c r="G151" s="129" t="s">
        <v>306</v>
      </c>
      <c r="H151" s="130" t="s">
        <v>285</v>
      </c>
      <c r="I151" s="130" t="s">
        <v>350</v>
      </c>
      <c r="J151" s="130" t="s">
        <v>350</v>
      </c>
      <c r="K151" s="129" t="s">
        <v>350</v>
      </c>
      <c r="L151" s="129"/>
      <c r="M151" s="129" t="s">
        <v>285</v>
      </c>
      <c r="N151" s="129" t="s">
        <v>286</v>
      </c>
      <c r="O151" s="130" t="s">
        <v>511</v>
      </c>
      <c r="P151" s="130" t="s">
        <v>350</v>
      </c>
      <c r="Q151" s="130"/>
      <c r="R151" s="141" t="s">
        <v>963</v>
      </c>
      <c r="S151" s="189"/>
      <c r="T151" s="213"/>
      <c r="U151" s="189" t="s">
        <v>794</v>
      </c>
      <c r="V151" s="189"/>
      <c r="W151" s="214"/>
      <c r="X151" s="189"/>
      <c r="Y151" s="215"/>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8"/>
    </row>
    <row r="152" spans="1:52" ht="60" x14ac:dyDescent="0.25">
      <c r="A152" s="148">
        <v>39</v>
      </c>
      <c r="B152" s="129" t="s">
        <v>112</v>
      </c>
      <c r="C152" s="130" t="s">
        <v>545</v>
      </c>
      <c r="D152" s="129" t="s">
        <v>446</v>
      </c>
      <c r="E152" s="129" t="s">
        <v>544</v>
      </c>
      <c r="F152" s="129" t="s">
        <v>538</v>
      </c>
      <c r="G152" s="129" t="s">
        <v>306</v>
      </c>
      <c r="H152" s="130" t="s">
        <v>285</v>
      </c>
      <c r="I152" s="130" t="s">
        <v>350</v>
      </c>
      <c r="J152" s="130" t="s">
        <v>350</v>
      </c>
      <c r="K152" s="129" t="s">
        <v>350</v>
      </c>
      <c r="L152" s="129"/>
      <c r="M152" s="129" t="s">
        <v>285</v>
      </c>
      <c r="N152" s="129" t="s">
        <v>286</v>
      </c>
      <c r="O152" s="130" t="s">
        <v>511</v>
      </c>
      <c r="P152" s="130" t="s">
        <v>350</v>
      </c>
      <c r="Q152" s="130"/>
      <c r="R152" s="141" t="s">
        <v>963</v>
      </c>
      <c r="S152" s="189"/>
      <c r="T152" s="213"/>
      <c r="U152" s="189" t="s">
        <v>794</v>
      </c>
      <c r="V152" s="189"/>
      <c r="W152" s="214"/>
      <c r="X152" s="189"/>
      <c r="Y152" s="215"/>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8"/>
    </row>
    <row r="153" spans="1:52" s="419" customFormat="1" ht="60" x14ac:dyDescent="0.25">
      <c r="A153" s="415">
        <v>40</v>
      </c>
      <c r="B153" s="416" t="s">
        <v>113</v>
      </c>
      <c r="C153" s="332" t="s">
        <v>546</v>
      </c>
      <c r="D153" s="416" t="s">
        <v>446</v>
      </c>
      <c r="E153" s="416" t="s">
        <v>544</v>
      </c>
      <c r="F153" s="416" t="s">
        <v>538</v>
      </c>
      <c r="G153" s="416" t="s">
        <v>306</v>
      </c>
      <c r="H153" s="332" t="s">
        <v>285</v>
      </c>
      <c r="I153" s="332" t="s">
        <v>350</v>
      </c>
      <c r="J153" s="332" t="s">
        <v>350</v>
      </c>
      <c r="K153" s="416" t="s">
        <v>350</v>
      </c>
      <c r="L153" s="416"/>
      <c r="M153" s="416" t="s">
        <v>285</v>
      </c>
      <c r="N153" s="416" t="s">
        <v>286</v>
      </c>
      <c r="O153" s="332" t="s">
        <v>511</v>
      </c>
      <c r="P153" s="332" t="s">
        <v>350</v>
      </c>
      <c r="Q153" s="332"/>
      <c r="R153" s="141" t="s">
        <v>963</v>
      </c>
      <c r="S153" s="333"/>
      <c r="T153" s="334"/>
      <c r="U153" s="333" t="s">
        <v>794</v>
      </c>
      <c r="V153" s="333"/>
      <c r="W153" s="335"/>
      <c r="X153" s="333"/>
      <c r="Y153" s="340"/>
      <c r="Z153" s="417"/>
      <c r="AA153" s="417"/>
      <c r="AB153" s="417"/>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7"/>
      <c r="AZ153" s="418"/>
    </row>
    <row r="154" spans="1:52" s="419" customFormat="1" ht="60" x14ac:dyDescent="0.25">
      <c r="A154" s="415">
        <v>41</v>
      </c>
      <c r="B154" s="416" t="s">
        <v>114</v>
      </c>
      <c r="C154" s="332" t="s">
        <v>547</v>
      </c>
      <c r="D154" s="416" t="s">
        <v>446</v>
      </c>
      <c r="E154" s="416" t="s">
        <v>544</v>
      </c>
      <c r="F154" s="416" t="s">
        <v>538</v>
      </c>
      <c r="G154" s="416" t="s">
        <v>306</v>
      </c>
      <c r="H154" s="332" t="s">
        <v>285</v>
      </c>
      <c r="I154" s="332" t="s">
        <v>350</v>
      </c>
      <c r="J154" s="332" t="s">
        <v>350</v>
      </c>
      <c r="K154" s="416" t="s">
        <v>350</v>
      </c>
      <c r="L154" s="416"/>
      <c r="M154" s="416" t="s">
        <v>285</v>
      </c>
      <c r="N154" s="416" t="s">
        <v>286</v>
      </c>
      <c r="O154" s="332" t="s">
        <v>511</v>
      </c>
      <c r="P154" s="332" t="s">
        <v>350</v>
      </c>
      <c r="Q154" s="332"/>
      <c r="R154" s="141" t="s">
        <v>963</v>
      </c>
      <c r="S154" s="333"/>
      <c r="T154" s="334"/>
      <c r="U154" s="333" t="s">
        <v>794</v>
      </c>
      <c r="V154" s="333"/>
      <c r="W154" s="335"/>
      <c r="X154" s="333"/>
      <c r="Y154" s="340"/>
      <c r="Z154" s="417"/>
      <c r="AA154" s="417"/>
      <c r="AB154" s="417"/>
      <c r="AC154" s="417"/>
      <c r="AD154" s="417"/>
      <c r="AE154" s="417"/>
      <c r="AF154" s="417"/>
      <c r="AG154" s="417"/>
      <c r="AH154" s="417"/>
      <c r="AI154" s="417"/>
      <c r="AJ154" s="417"/>
      <c r="AK154" s="417"/>
      <c r="AL154" s="417"/>
      <c r="AM154" s="417"/>
      <c r="AN154" s="417"/>
      <c r="AO154" s="417"/>
      <c r="AP154" s="417"/>
      <c r="AQ154" s="417"/>
      <c r="AR154" s="417"/>
      <c r="AS154" s="417"/>
      <c r="AT154" s="417"/>
      <c r="AU154" s="417"/>
      <c r="AV154" s="417"/>
      <c r="AW154" s="417"/>
      <c r="AX154" s="417"/>
      <c r="AY154" s="417"/>
      <c r="AZ154" s="418"/>
    </row>
    <row r="155" spans="1:52" s="412" customFormat="1" ht="60" x14ac:dyDescent="0.25">
      <c r="A155" s="407">
        <v>42</v>
      </c>
      <c r="B155" s="408" t="s">
        <v>115</v>
      </c>
      <c r="C155" s="409" t="s">
        <v>548</v>
      </c>
      <c r="D155" s="408" t="s">
        <v>446</v>
      </c>
      <c r="E155" s="408" t="s">
        <v>544</v>
      </c>
      <c r="F155" s="408" t="s">
        <v>538</v>
      </c>
      <c r="G155" s="408" t="s">
        <v>279</v>
      </c>
      <c r="H155" s="409" t="s">
        <v>549</v>
      </c>
      <c r="I155" s="409" t="s">
        <v>350</v>
      </c>
      <c r="J155" s="409" t="s">
        <v>350</v>
      </c>
      <c r="K155" s="408" t="s">
        <v>350</v>
      </c>
      <c r="L155" s="408"/>
      <c r="M155" s="408" t="s">
        <v>285</v>
      </c>
      <c r="N155" s="408" t="s">
        <v>286</v>
      </c>
      <c r="O155" s="409" t="s">
        <v>511</v>
      </c>
      <c r="P155" s="409" t="s">
        <v>350</v>
      </c>
      <c r="Q155" s="409"/>
      <c r="R155" s="409" t="s">
        <v>963</v>
      </c>
      <c r="S155" s="393" t="s">
        <v>794</v>
      </c>
      <c r="T155" s="394"/>
      <c r="U155" s="393" t="s">
        <v>794</v>
      </c>
      <c r="V155" s="393"/>
      <c r="W155" s="395"/>
      <c r="X155" s="393"/>
      <c r="Y155" s="396"/>
      <c r="Z155" s="410"/>
      <c r="AA155" s="410"/>
      <c r="AB155" s="410"/>
      <c r="AC155" s="410"/>
      <c r="AD155" s="410"/>
      <c r="AE155" s="410"/>
      <c r="AF155" s="410"/>
      <c r="AG155" s="410"/>
      <c r="AH155" s="410"/>
      <c r="AI155" s="410"/>
      <c r="AJ155" s="410"/>
      <c r="AK155" s="410"/>
      <c r="AL155" s="410"/>
      <c r="AM155" s="410"/>
      <c r="AN155" s="410"/>
      <c r="AO155" s="410"/>
      <c r="AP155" s="410"/>
      <c r="AQ155" s="410"/>
      <c r="AR155" s="410"/>
      <c r="AS155" s="410"/>
      <c r="AT155" s="410"/>
      <c r="AU155" s="410"/>
      <c r="AV155" s="410"/>
      <c r="AW155" s="410"/>
      <c r="AX155" s="410"/>
      <c r="AY155" s="410"/>
      <c r="AZ155" s="411"/>
    </row>
    <row r="156" spans="1:52" s="412" customFormat="1" ht="15.75" x14ac:dyDescent="0.25">
      <c r="A156" s="407"/>
      <c r="B156" s="408"/>
      <c r="C156" s="409"/>
      <c r="D156" s="408"/>
      <c r="E156" s="408"/>
      <c r="F156" s="408"/>
      <c r="G156" s="408"/>
      <c r="H156" s="409"/>
      <c r="I156" s="409"/>
      <c r="J156" s="409"/>
      <c r="K156" s="408"/>
      <c r="L156" s="408"/>
      <c r="M156" s="408"/>
      <c r="N156" s="408"/>
      <c r="O156" s="409"/>
      <c r="P156" s="409"/>
      <c r="Q156" s="409"/>
      <c r="R156" s="409"/>
      <c r="S156" s="393"/>
      <c r="T156" s="394"/>
      <c r="U156" s="393"/>
      <c r="V156" s="393"/>
      <c r="W156" s="395"/>
      <c r="X156" s="393"/>
      <c r="Y156" s="396"/>
      <c r="Z156" s="410"/>
      <c r="AA156" s="410"/>
      <c r="AB156" s="410"/>
      <c r="AC156" s="410"/>
      <c r="AD156" s="410"/>
      <c r="AE156" s="410"/>
      <c r="AF156" s="410"/>
      <c r="AG156" s="410"/>
      <c r="AH156" s="410"/>
      <c r="AI156" s="410"/>
      <c r="AJ156" s="410"/>
      <c r="AK156" s="410"/>
      <c r="AL156" s="410"/>
      <c r="AM156" s="410"/>
      <c r="AN156" s="410"/>
      <c r="AO156" s="410"/>
      <c r="AP156" s="410"/>
      <c r="AQ156" s="410"/>
      <c r="AR156" s="410"/>
      <c r="AS156" s="410"/>
      <c r="AT156" s="410"/>
      <c r="AU156" s="410"/>
      <c r="AV156" s="410"/>
      <c r="AW156" s="410"/>
      <c r="AX156" s="410"/>
      <c r="AY156" s="410"/>
      <c r="AZ156" s="411"/>
    </row>
    <row r="157" spans="1:52" s="412" customFormat="1" ht="96" x14ac:dyDescent="0.25">
      <c r="A157" s="407">
        <v>43</v>
      </c>
      <c r="B157" s="408" t="s">
        <v>116</v>
      </c>
      <c r="C157" s="409" t="s">
        <v>550</v>
      </c>
      <c r="D157" s="408" t="s">
        <v>446</v>
      </c>
      <c r="E157" s="408" t="s">
        <v>551</v>
      </c>
      <c r="F157" s="408" t="s">
        <v>538</v>
      </c>
      <c r="G157" s="408" t="s">
        <v>306</v>
      </c>
      <c r="H157" s="409" t="s">
        <v>998</v>
      </c>
      <c r="I157" s="409" t="s">
        <v>540</v>
      </c>
      <c r="J157" s="409" t="s">
        <v>541</v>
      </c>
      <c r="K157" s="408" t="s">
        <v>542</v>
      </c>
      <c r="L157" s="408"/>
      <c r="M157" s="408" t="s">
        <v>285</v>
      </c>
      <c r="N157" s="408" t="s">
        <v>286</v>
      </c>
      <c r="O157" s="409" t="s">
        <v>480</v>
      </c>
      <c r="P157" s="409" t="s">
        <v>350</v>
      </c>
      <c r="Q157" s="409"/>
      <c r="R157" s="409" t="s">
        <v>963</v>
      </c>
      <c r="S157" s="393" t="s">
        <v>794</v>
      </c>
      <c r="T157" s="394"/>
      <c r="U157" s="393" t="s">
        <v>794</v>
      </c>
      <c r="V157" s="393"/>
      <c r="W157" s="395"/>
      <c r="X157" s="393"/>
      <c r="Y157" s="396"/>
      <c r="Z157" s="570"/>
      <c r="AA157" s="571"/>
      <c r="AB157" s="571"/>
      <c r="AC157" s="571"/>
      <c r="AD157" s="571"/>
      <c r="AE157" s="571"/>
      <c r="AF157" s="571"/>
      <c r="AG157" s="410"/>
      <c r="AH157" s="410"/>
      <c r="AI157" s="410"/>
      <c r="AJ157" s="410"/>
      <c r="AK157" s="410"/>
      <c r="AL157" s="410"/>
      <c r="AM157" s="410"/>
      <c r="AN157" s="410"/>
      <c r="AO157" s="410"/>
      <c r="AP157" s="410"/>
      <c r="AQ157" s="410"/>
      <c r="AR157" s="410"/>
      <c r="AS157" s="410"/>
      <c r="AT157" s="410"/>
      <c r="AU157" s="410"/>
      <c r="AV157" s="410"/>
      <c r="AW157" s="410"/>
      <c r="AX157" s="410"/>
      <c r="AY157" s="410"/>
      <c r="AZ157" s="411"/>
    </row>
    <row r="158" spans="1:52" s="469" customFormat="1" ht="96" x14ac:dyDescent="0.25">
      <c r="A158" s="520">
        <v>44</v>
      </c>
      <c r="B158" s="142" t="s">
        <v>117</v>
      </c>
      <c r="C158" s="146" t="s">
        <v>552</v>
      </c>
      <c r="D158" s="142" t="s">
        <v>446</v>
      </c>
      <c r="E158" s="142" t="s">
        <v>551</v>
      </c>
      <c r="F158" s="142" t="s">
        <v>538</v>
      </c>
      <c r="G158" s="142" t="s">
        <v>279</v>
      </c>
      <c r="H158" s="141" t="s">
        <v>997</v>
      </c>
      <c r="I158" s="146" t="s">
        <v>350</v>
      </c>
      <c r="J158" s="146" t="s">
        <v>350</v>
      </c>
      <c r="K158" s="142" t="s">
        <v>350</v>
      </c>
      <c r="L158" s="142"/>
      <c r="M158" s="142" t="s">
        <v>285</v>
      </c>
      <c r="N158" s="142" t="s">
        <v>286</v>
      </c>
      <c r="O158" s="146" t="s">
        <v>511</v>
      </c>
      <c r="P158" s="146" t="s">
        <v>350</v>
      </c>
      <c r="Q158" s="146"/>
      <c r="R158" s="141" t="s">
        <v>1019</v>
      </c>
      <c r="S158" s="189" t="s">
        <v>794</v>
      </c>
      <c r="T158" s="213" t="s">
        <v>794</v>
      </c>
      <c r="U158" s="189"/>
      <c r="V158" s="189"/>
      <c r="W158" s="214"/>
      <c r="X158" s="189"/>
      <c r="Y158" s="215"/>
      <c r="Z158" s="846">
        <v>2013</v>
      </c>
      <c r="AA158" s="847"/>
      <c r="AB158" s="847"/>
      <c r="AC158" s="847"/>
      <c r="AD158" s="847"/>
      <c r="AE158" s="847"/>
      <c r="AF158" s="848"/>
      <c r="AG158" s="275"/>
      <c r="AH158" s="275"/>
      <c r="AI158" s="275"/>
      <c r="AJ158" s="275"/>
      <c r="AK158" s="275"/>
      <c r="AL158" s="275"/>
      <c r="AM158" s="275"/>
      <c r="AN158" s="275"/>
      <c r="AO158" s="275"/>
      <c r="AP158" s="275"/>
      <c r="AQ158" s="275"/>
      <c r="AR158" s="275"/>
      <c r="AS158" s="275"/>
      <c r="AT158" s="275"/>
      <c r="AU158" s="275"/>
      <c r="AV158" s="275"/>
      <c r="AW158" s="275"/>
      <c r="AX158" s="275"/>
      <c r="AY158" s="275"/>
      <c r="AZ158" s="475"/>
    </row>
    <row r="159" spans="1:52" s="469" customFormat="1" ht="45" x14ac:dyDescent="0.25">
      <c r="A159" s="520"/>
      <c r="B159" s="142"/>
      <c r="C159" s="146"/>
      <c r="D159" s="142"/>
      <c r="E159" s="142"/>
      <c r="F159" s="142"/>
      <c r="G159" s="142"/>
      <c r="H159" s="146"/>
      <c r="I159" s="146"/>
      <c r="J159" s="146"/>
      <c r="K159" s="142"/>
      <c r="L159" s="142"/>
      <c r="M159" s="142"/>
      <c r="N159" s="142"/>
      <c r="O159" s="146"/>
      <c r="P159" s="146"/>
      <c r="Q159" s="146"/>
      <c r="R159" s="141"/>
      <c r="S159" s="189"/>
      <c r="T159" s="213"/>
      <c r="U159" s="189"/>
      <c r="V159" s="189"/>
      <c r="W159" s="214"/>
      <c r="X159" s="189"/>
      <c r="Y159" s="215"/>
      <c r="Z159" s="572" t="s">
        <v>988</v>
      </c>
      <c r="AA159" s="573" t="s">
        <v>989</v>
      </c>
      <c r="AB159" s="574" t="s">
        <v>990</v>
      </c>
      <c r="AC159" s="473" t="s">
        <v>991</v>
      </c>
      <c r="AD159" s="473" t="s">
        <v>992</v>
      </c>
      <c r="AE159" s="474" t="s">
        <v>993</v>
      </c>
      <c r="AF159" s="474" t="s">
        <v>994</v>
      </c>
      <c r="AG159" s="275"/>
      <c r="AH159" s="275"/>
      <c r="AI159" s="275"/>
      <c r="AJ159" s="275"/>
      <c r="AK159" s="275"/>
      <c r="AL159" s="275"/>
      <c r="AM159" s="275"/>
      <c r="AN159" s="275"/>
      <c r="AO159" s="275"/>
      <c r="AP159" s="275"/>
      <c r="AQ159" s="275"/>
      <c r="AR159" s="275"/>
      <c r="AS159" s="275"/>
      <c r="AT159" s="275"/>
      <c r="AU159" s="275"/>
      <c r="AV159" s="275"/>
      <c r="AW159" s="275"/>
      <c r="AX159" s="275"/>
      <c r="AY159" s="275"/>
      <c r="AZ159" s="475"/>
    </row>
    <row r="160" spans="1:52" s="469" customFormat="1" ht="15.75" x14ac:dyDescent="0.25">
      <c r="A160" s="520"/>
      <c r="B160" s="142" t="s">
        <v>240</v>
      </c>
      <c r="C160" s="146"/>
      <c r="D160" s="142"/>
      <c r="E160" s="142"/>
      <c r="F160" s="142"/>
      <c r="G160" s="142"/>
      <c r="H160" s="146"/>
      <c r="I160" s="146"/>
      <c r="J160" s="146"/>
      <c r="K160" s="142"/>
      <c r="L160" s="142"/>
      <c r="M160" s="142"/>
      <c r="N160" s="142"/>
      <c r="O160" s="146"/>
      <c r="P160" s="146"/>
      <c r="Q160" s="146"/>
      <c r="R160" s="141"/>
      <c r="S160" s="189"/>
      <c r="T160" s="213"/>
      <c r="U160" s="189"/>
      <c r="V160" s="189"/>
      <c r="W160" s="214"/>
      <c r="X160" s="189"/>
      <c r="Y160" s="215"/>
      <c r="Z160" s="4">
        <v>276</v>
      </c>
      <c r="AA160" s="4">
        <v>151</v>
      </c>
      <c r="AB160" s="477">
        <v>314</v>
      </c>
      <c r="AC160" s="4">
        <v>711</v>
      </c>
      <c r="AD160" s="4">
        <v>227</v>
      </c>
      <c r="AE160" s="477">
        <v>368</v>
      </c>
      <c r="AF160" s="477">
        <v>29</v>
      </c>
      <c r="AG160" s="275"/>
      <c r="AH160" s="275"/>
      <c r="AI160" s="275"/>
      <c r="AJ160" s="275"/>
      <c r="AK160" s="275"/>
      <c r="AL160" s="275"/>
      <c r="AM160" s="275"/>
      <c r="AN160" s="275"/>
      <c r="AO160" s="275"/>
      <c r="AP160" s="275"/>
      <c r="AQ160" s="275"/>
      <c r="AR160" s="275"/>
      <c r="AS160" s="275"/>
      <c r="AT160" s="275"/>
      <c r="AU160" s="275"/>
      <c r="AV160" s="275"/>
      <c r="AW160" s="275"/>
      <c r="AX160" s="275"/>
      <c r="AY160" s="275"/>
      <c r="AZ160" s="475"/>
    </row>
    <row r="161" spans="1:52" s="469" customFormat="1" ht="15.75" x14ac:dyDescent="0.25">
      <c r="A161" s="520"/>
      <c r="B161" s="142" t="s">
        <v>246</v>
      </c>
      <c r="C161" s="146"/>
      <c r="D161" s="142"/>
      <c r="E161" s="142"/>
      <c r="F161" s="142"/>
      <c r="G161" s="142"/>
      <c r="H161" s="146"/>
      <c r="I161" s="146"/>
      <c r="J161" s="146"/>
      <c r="K161" s="142"/>
      <c r="L161" s="142"/>
      <c r="M161" s="142"/>
      <c r="N161" s="142"/>
      <c r="O161" s="146"/>
      <c r="P161" s="146"/>
      <c r="Q161" s="146"/>
      <c r="R161" s="141"/>
      <c r="S161" s="189"/>
      <c r="T161" s="213"/>
      <c r="U161" s="189"/>
      <c r="V161" s="189"/>
      <c r="W161" s="214"/>
      <c r="X161" s="189"/>
      <c r="Y161" s="215"/>
      <c r="Z161" s="4">
        <v>14</v>
      </c>
      <c r="AA161" s="4">
        <v>32</v>
      </c>
      <c r="AB161" s="477">
        <v>317</v>
      </c>
      <c r="AC161" s="4">
        <v>273</v>
      </c>
      <c r="AD161" s="4">
        <v>93</v>
      </c>
      <c r="AE161" s="477">
        <v>380</v>
      </c>
      <c r="AF161" s="477">
        <v>6</v>
      </c>
      <c r="AG161" s="275"/>
      <c r="AH161" s="275"/>
      <c r="AI161" s="275"/>
      <c r="AJ161" s="275"/>
      <c r="AK161" s="275"/>
      <c r="AL161" s="275"/>
      <c r="AM161" s="275"/>
      <c r="AN161" s="275"/>
      <c r="AO161" s="275"/>
      <c r="AP161" s="275"/>
      <c r="AQ161" s="275"/>
      <c r="AR161" s="275"/>
      <c r="AS161" s="275"/>
      <c r="AT161" s="275"/>
      <c r="AU161" s="275"/>
      <c r="AV161" s="275"/>
      <c r="AW161" s="275"/>
      <c r="AX161" s="275"/>
      <c r="AY161" s="275"/>
      <c r="AZ161" s="475"/>
    </row>
    <row r="162" spans="1:52" s="469" customFormat="1" ht="15.75" x14ac:dyDescent="0.25">
      <c r="A162" s="520"/>
      <c r="B162" s="142" t="s">
        <v>250</v>
      </c>
      <c r="C162" s="146"/>
      <c r="D162" s="142"/>
      <c r="E162" s="142"/>
      <c r="F162" s="142"/>
      <c r="G162" s="142"/>
      <c r="H162" s="146"/>
      <c r="I162" s="146"/>
      <c r="J162" s="146"/>
      <c r="K162" s="142"/>
      <c r="L162" s="142"/>
      <c r="M162" s="142"/>
      <c r="N162" s="142"/>
      <c r="O162" s="146"/>
      <c r="P162" s="146"/>
      <c r="Q162" s="146"/>
      <c r="R162" s="141"/>
      <c r="S162" s="189"/>
      <c r="T162" s="213"/>
      <c r="U162" s="189"/>
      <c r="V162" s="189"/>
      <c r="W162" s="214"/>
      <c r="X162" s="189"/>
      <c r="Y162" s="215"/>
      <c r="Z162" s="538" t="s">
        <v>26</v>
      </c>
      <c r="AA162" s="4">
        <v>10</v>
      </c>
      <c r="AB162" s="477">
        <v>38</v>
      </c>
      <c r="AC162" s="4">
        <v>76</v>
      </c>
      <c r="AD162" s="4">
        <v>43</v>
      </c>
      <c r="AE162" s="477">
        <v>10</v>
      </c>
      <c r="AF162" s="477">
        <v>6</v>
      </c>
      <c r="AG162" s="275"/>
      <c r="AH162" s="275"/>
      <c r="AI162" s="275"/>
      <c r="AJ162" s="275"/>
      <c r="AK162" s="275"/>
      <c r="AL162" s="275"/>
      <c r="AM162" s="275"/>
      <c r="AN162" s="275"/>
      <c r="AO162" s="275"/>
      <c r="AP162" s="275"/>
      <c r="AQ162" s="275"/>
      <c r="AR162" s="275"/>
      <c r="AS162" s="275"/>
      <c r="AT162" s="275"/>
      <c r="AU162" s="275"/>
      <c r="AV162" s="275"/>
      <c r="AW162" s="275"/>
      <c r="AX162" s="275"/>
      <c r="AY162" s="275"/>
      <c r="AZ162" s="475"/>
    </row>
    <row r="163" spans="1:52" s="469" customFormat="1" ht="15.75" x14ac:dyDescent="0.25">
      <c r="A163" s="520"/>
      <c r="B163" s="142" t="s">
        <v>242</v>
      </c>
      <c r="C163" s="146"/>
      <c r="D163" s="142"/>
      <c r="E163" s="142"/>
      <c r="F163" s="142"/>
      <c r="G163" s="142"/>
      <c r="H163" s="146"/>
      <c r="I163" s="146"/>
      <c r="J163" s="146"/>
      <c r="K163" s="142"/>
      <c r="L163" s="142"/>
      <c r="M163" s="142"/>
      <c r="N163" s="142"/>
      <c r="O163" s="146"/>
      <c r="P163" s="146"/>
      <c r="Q163" s="146"/>
      <c r="R163" s="141"/>
      <c r="S163" s="189"/>
      <c r="T163" s="213"/>
      <c r="U163" s="189"/>
      <c r="V163" s="189"/>
      <c r="W163" s="214"/>
      <c r="X163" s="189"/>
      <c r="Y163" s="215"/>
      <c r="Z163" s="538" t="s">
        <v>26</v>
      </c>
      <c r="AA163" s="4">
        <v>43</v>
      </c>
      <c r="AB163" s="477">
        <v>170</v>
      </c>
      <c r="AC163" s="4">
        <v>191</v>
      </c>
      <c r="AD163" s="4">
        <v>51</v>
      </c>
      <c r="AE163" s="477">
        <v>241</v>
      </c>
      <c r="AF163" s="477">
        <v>19</v>
      </c>
      <c r="AG163" s="275"/>
      <c r="AH163" s="275"/>
      <c r="AI163" s="275"/>
      <c r="AJ163" s="275"/>
      <c r="AK163" s="275"/>
      <c r="AL163" s="275"/>
      <c r="AM163" s="275"/>
      <c r="AN163" s="275"/>
      <c r="AO163" s="275"/>
      <c r="AP163" s="275"/>
      <c r="AQ163" s="275"/>
      <c r="AR163" s="275"/>
      <c r="AS163" s="275"/>
      <c r="AT163" s="275"/>
      <c r="AU163" s="275"/>
      <c r="AV163" s="275"/>
      <c r="AW163" s="275"/>
      <c r="AX163" s="275"/>
      <c r="AY163" s="275"/>
      <c r="AZ163" s="475"/>
    </row>
    <row r="164" spans="1:52" s="469" customFormat="1" ht="15.75" x14ac:dyDescent="0.25">
      <c r="A164" s="520"/>
      <c r="B164" s="142" t="s">
        <v>995</v>
      </c>
      <c r="C164" s="146"/>
      <c r="D164" s="142"/>
      <c r="E164" s="142"/>
      <c r="F164" s="142"/>
      <c r="G164" s="142"/>
      <c r="H164" s="146"/>
      <c r="I164" s="146"/>
      <c r="J164" s="146"/>
      <c r="K164" s="142"/>
      <c r="L164" s="142"/>
      <c r="M164" s="142"/>
      <c r="N164" s="142"/>
      <c r="O164" s="146"/>
      <c r="P164" s="146"/>
      <c r="Q164" s="146"/>
      <c r="R164" s="141"/>
      <c r="S164" s="189"/>
      <c r="T164" s="213"/>
      <c r="U164" s="189"/>
      <c r="V164" s="189"/>
      <c r="W164" s="214"/>
      <c r="X164" s="189"/>
      <c r="Y164" s="215"/>
      <c r="Z164" s="4">
        <v>65</v>
      </c>
      <c r="AA164" s="4">
        <v>153</v>
      </c>
      <c r="AB164" s="477">
        <v>803</v>
      </c>
      <c r="AC164" s="4">
        <v>570</v>
      </c>
      <c r="AD164" s="4">
        <v>161</v>
      </c>
      <c r="AE164" s="477">
        <v>487</v>
      </c>
      <c r="AF164" s="477">
        <v>20</v>
      </c>
      <c r="AG164" s="275"/>
      <c r="AH164" s="275"/>
      <c r="AI164" s="275"/>
      <c r="AJ164" s="275"/>
      <c r="AK164" s="275"/>
      <c r="AL164" s="275"/>
      <c r="AM164" s="275"/>
      <c r="AN164" s="275"/>
      <c r="AO164" s="275"/>
      <c r="AP164" s="275"/>
      <c r="AQ164" s="275"/>
      <c r="AR164" s="275"/>
      <c r="AS164" s="275"/>
      <c r="AT164" s="275"/>
      <c r="AU164" s="275"/>
      <c r="AV164" s="275"/>
      <c r="AW164" s="275"/>
      <c r="AX164" s="275"/>
      <c r="AY164" s="275"/>
      <c r="AZ164" s="475"/>
    </row>
    <row r="165" spans="1:52" s="469" customFormat="1" ht="15.75" x14ac:dyDescent="0.25">
      <c r="A165" s="520"/>
      <c r="B165" s="142" t="s">
        <v>852</v>
      </c>
      <c r="C165" s="146"/>
      <c r="D165" s="142"/>
      <c r="E165" s="142"/>
      <c r="F165" s="142"/>
      <c r="G165" s="142"/>
      <c r="H165" s="146"/>
      <c r="I165" s="146"/>
      <c r="J165" s="146"/>
      <c r="K165" s="142"/>
      <c r="L165" s="142"/>
      <c r="M165" s="142"/>
      <c r="N165" s="142"/>
      <c r="O165" s="146"/>
      <c r="P165" s="146"/>
      <c r="Q165" s="146"/>
      <c r="R165" s="141"/>
      <c r="S165" s="189"/>
      <c r="T165" s="213"/>
      <c r="U165" s="189"/>
      <c r="V165" s="189"/>
      <c r="W165" s="214"/>
      <c r="X165" s="189"/>
      <c r="Y165" s="215"/>
      <c r="Z165" s="538" t="s">
        <v>26</v>
      </c>
      <c r="AA165" s="4">
        <v>117</v>
      </c>
      <c r="AB165" s="477">
        <v>240</v>
      </c>
      <c r="AC165" s="4">
        <v>199</v>
      </c>
      <c r="AD165" s="4">
        <v>69</v>
      </c>
      <c r="AE165" s="477">
        <v>232</v>
      </c>
      <c r="AF165" s="477">
        <v>21</v>
      </c>
      <c r="AG165" s="275"/>
      <c r="AH165" s="275"/>
      <c r="AI165" s="275"/>
      <c r="AJ165" s="275"/>
      <c r="AK165" s="275"/>
      <c r="AL165" s="275"/>
      <c r="AM165" s="275"/>
      <c r="AN165" s="275"/>
      <c r="AO165" s="275"/>
      <c r="AP165" s="275"/>
      <c r="AQ165" s="275"/>
      <c r="AR165" s="275"/>
      <c r="AS165" s="275"/>
      <c r="AT165" s="275"/>
      <c r="AU165" s="275"/>
      <c r="AV165" s="275"/>
      <c r="AW165" s="275"/>
      <c r="AX165" s="275"/>
      <c r="AY165" s="275"/>
      <c r="AZ165" s="475"/>
    </row>
    <row r="166" spans="1:52" s="469" customFormat="1" ht="15.75" x14ac:dyDescent="0.25">
      <c r="A166" s="520"/>
      <c r="B166" s="142" t="s">
        <v>239</v>
      </c>
      <c r="C166" s="146"/>
      <c r="D166" s="142"/>
      <c r="E166" s="142"/>
      <c r="F166" s="142"/>
      <c r="G166" s="142"/>
      <c r="H166" s="146"/>
      <c r="I166" s="146"/>
      <c r="J166" s="146"/>
      <c r="K166" s="142"/>
      <c r="L166" s="142"/>
      <c r="M166" s="142"/>
      <c r="N166" s="142"/>
      <c r="O166" s="146"/>
      <c r="P166" s="146"/>
      <c r="Q166" s="146"/>
      <c r="R166" s="141"/>
      <c r="S166" s="189"/>
      <c r="T166" s="213"/>
      <c r="U166" s="189"/>
      <c r="V166" s="189"/>
      <c r="W166" s="214"/>
      <c r="X166" s="189"/>
      <c r="Y166" s="215"/>
      <c r="Z166" s="4">
        <v>342</v>
      </c>
      <c r="AA166" s="4">
        <v>231</v>
      </c>
      <c r="AB166" s="477">
        <v>1392</v>
      </c>
      <c r="AC166" s="575">
        <v>1774</v>
      </c>
      <c r="AD166" s="4">
        <v>275</v>
      </c>
      <c r="AE166" s="477">
        <v>578</v>
      </c>
      <c r="AF166" s="477">
        <v>45</v>
      </c>
      <c r="AG166" s="275"/>
      <c r="AH166" s="275"/>
      <c r="AI166" s="275"/>
      <c r="AJ166" s="275"/>
      <c r="AK166" s="275"/>
      <c r="AL166" s="275"/>
      <c r="AM166" s="275"/>
      <c r="AN166" s="275"/>
      <c r="AO166" s="275"/>
      <c r="AP166" s="275"/>
      <c r="AQ166" s="275"/>
      <c r="AR166" s="275"/>
      <c r="AS166" s="275"/>
      <c r="AT166" s="275"/>
      <c r="AU166" s="275"/>
      <c r="AV166" s="275"/>
      <c r="AW166" s="275"/>
      <c r="AX166" s="275"/>
      <c r="AY166" s="275"/>
      <c r="AZ166" s="475"/>
    </row>
    <row r="167" spans="1:52" s="469" customFormat="1" ht="15.75" x14ac:dyDescent="0.25">
      <c r="A167" s="520"/>
      <c r="B167" s="142" t="s">
        <v>996</v>
      </c>
      <c r="C167" s="146"/>
      <c r="D167" s="142"/>
      <c r="E167" s="142"/>
      <c r="F167" s="142"/>
      <c r="G167" s="142"/>
      <c r="H167" s="146"/>
      <c r="I167" s="146"/>
      <c r="J167" s="146"/>
      <c r="K167" s="142"/>
      <c r="L167" s="142"/>
      <c r="M167" s="142"/>
      <c r="N167" s="142"/>
      <c r="O167" s="146"/>
      <c r="P167" s="146"/>
      <c r="Q167" s="146"/>
      <c r="R167" s="141"/>
      <c r="S167" s="189"/>
      <c r="T167" s="213"/>
      <c r="U167" s="189"/>
      <c r="V167" s="189"/>
      <c r="W167" s="214"/>
      <c r="X167" s="189"/>
      <c r="Y167" s="215"/>
      <c r="Z167" s="538" t="s">
        <v>26</v>
      </c>
      <c r="AA167" s="4">
        <v>214</v>
      </c>
      <c r="AB167" s="477">
        <v>202</v>
      </c>
      <c r="AC167" s="4">
        <v>253</v>
      </c>
      <c r="AD167" s="4">
        <v>70</v>
      </c>
      <c r="AE167" s="477">
        <v>264</v>
      </c>
      <c r="AF167" s="477">
        <v>17</v>
      </c>
      <c r="AG167" s="275"/>
      <c r="AH167" s="275"/>
      <c r="AI167" s="275"/>
      <c r="AJ167" s="275"/>
      <c r="AK167" s="275"/>
      <c r="AL167" s="275"/>
      <c r="AM167" s="275"/>
      <c r="AN167" s="275"/>
      <c r="AO167" s="275"/>
      <c r="AP167" s="275"/>
      <c r="AQ167" s="275"/>
      <c r="AR167" s="275"/>
      <c r="AS167" s="275"/>
      <c r="AT167" s="275"/>
      <c r="AU167" s="275"/>
      <c r="AV167" s="275"/>
      <c r="AW167" s="275"/>
      <c r="AX167" s="275"/>
      <c r="AY167" s="275"/>
      <c r="AZ167" s="475"/>
    </row>
    <row r="168" spans="1:52" s="469" customFormat="1" ht="15.75" x14ac:dyDescent="0.25">
      <c r="A168" s="520"/>
      <c r="B168" s="142" t="s">
        <v>244</v>
      </c>
      <c r="C168" s="146"/>
      <c r="D168" s="142"/>
      <c r="E168" s="142"/>
      <c r="F168" s="142"/>
      <c r="G168" s="142"/>
      <c r="H168" s="146"/>
      <c r="I168" s="146"/>
      <c r="J168" s="146"/>
      <c r="K168" s="142"/>
      <c r="L168" s="142"/>
      <c r="M168" s="142"/>
      <c r="N168" s="142"/>
      <c r="O168" s="146"/>
      <c r="P168" s="146"/>
      <c r="Q168" s="146"/>
      <c r="R168" s="141"/>
      <c r="S168" s="189"/>
      <c r="T168" s="213"/>
      <c r="U168" s="189"/>
      <c r="V168" s="189"/>
      <c r="W168" s="214"/>
      <c r="X168" s="189"/>
      <c r="Y168" s="215"/>
      <c r="Z168" s="538" t="s">
        <v>26</v>
      </c>
      <c r="AA168" s="4">
        <v>100</v>
      </c>
      <c r="AB168" s="4">
        <v>175</v>
      </c>
      <c r="AC168" s="4">
        <v>228</v>
      </c>
      <c r="AD168" s="4">
        <v>77</v>
      </c>
      <c r="AE168" s="4">
        <v>320</v>
      </c>
      <c r="AF168" s="477">
        <v>19</v>
      </c>
      <c r="AG168" s="275"/>
      <c r="AH168" s="275"/>
      <c r="AI168" s="275"/>
      <c r="AJ168" s="275"/>
      <c r="AK168" s="275"/>
      <c r="AL168" s="275"/>
      <c r="AM168" s="275"/>
      <c r="AN168" s="275"/>
      <c r="AO168" s="275"/>
      <c r="AP168" s="275"/>
      <c r="AQ168" s="275"/>
      <c r="AR168" s="275"/>
      <c r="AS168" s="275"/>
      <c r="AT168" s="275"/>
      <c r="AU168" s="275"/>
      <c r="AV168" s="275"/>
      <c r="AW168" s="275"/>
      <c r="AX168" s="275"/>
      <c r="AY168" s="275"/>
      <c r="AZ168" s="475"/>
    </row>
    <row r="169" spans="1:52" s="412" customFormat="1" ht="60" x14ac:dyDescent="0.25">
      <c r="A169" s="407">
        <v>45</v>
      </c>
      <c r="B169" s="408" t="s">
        <v>118</v>
      </c>
      <c r="C169" s="409" t="s">
        <v>553</v>
      </c>
      <c r="D169" s="408" t="s">
        <v>446</v>
      </c>
      <c r="E169" s="408" t="s">
        <v>551</v>
      </c>
      <c r="F169" s="408" t="s">
        <v>538</v>
      </c>
      <c r="G169" s="408" t="s">
        <v>306</v>
      </c>
      <c r="H169" s="409" t="s">
        <v>539</v>
      </c>
      <c r="I169" s="409" t="s">
        <v>540</v>
      </c>
      <c r="J169" s="409" t="s">
        <v>541</v>
      </c>
      <c r="K169" s="408" t="s">
        <v>542</v>
      </c>
      <c r="L169" s="408"/>
      <c r="M169" s="408" t="s">
        <v>285</v>
      </c>
      <c r="N169" s="408" t="s">
        <v>286</v>
      </c>
      <c r="O169" s="409" t="s">
        <v>511</v>
      </c>
      <c r="P169" s="409" t="s">
        <v>350</v>
      </c>
      <c r="Q169" s="409"/>
      <c r="R169" s="409" t="s">
        <v>963</v>
      </c>
      <c r="S169" s="393" t="s">
        <v>794</v>
      </c>
      <c r="T169" s="394"/>
      <c r="U169" s="393" t="s">
        <v>794</v>
      </c>
      <c r="V169" s="393"/>
      <c r="W169" s="395"/>
      <c r="X169" s="393"/>
      <c r="Y169" s="396"/>
      <c r="Z169" s="410"/>
      <c r="AA169" s="410"/>
      <c r="AB169" s="410"/>
      <c r="AC169" s="410"/>
      <c r="AD169" s="410"/>
      <c r="AE169" s="410"/>
      <c r="AF169" s="410"/>
      <c r="AG169" s="410"/>
      <c r="AH169" s="410"/>
      <c r="AI169" s="410"/>
      <c r="AJ169" s="410"/>
      <c r="AK169" s="410"/>
      <c r="AL169" s="410"/>
      <c r="AM169" s="410"/>
      <c r="AN169" s="410"/>
      <c r="AO169" s="410"/>
      <c r="AP169" s="410"/>
      <c r="AQ169" s="410"/>
      <c r="AR169" s="410"/>
      <c r="AS169" s="410"/>
      <c r="AT169" s="410"/>
      <c r="AU169" s="410"/>
      <c r="AV169" s="410"/>
      <c r="AW169" s="410"/>
      <c r="AX169" s="410"/>
      <c r="AY169" s="410"/>
      <c r="AZ169" s="411"/>
    </row>
    <row r="170" spans="1:52" s="412" customFormat="1" ht="60" x14ac:dyDescent="0.25">
      <c r="A170" s="407">
        <v>46</v>
      </c>
      <c r="B170" s="408" t="s">
        <v>119</v>
      </c>
      <c r="C170" s="409" t="s">
        <v>554</v>
      </c>
      <c r="D170" s="408" t="s">
        <v>446</v>
      </c>
      <c r="E170" s="408" t="s">
        <v>551</v>
      </c>
      <c r="F170" s="408" t="s">
        <v>538</v>
      </c>
      <c r="G170" s="408" t="s">
        <v>306</v>
      </c>
      <c r="H170" s="409" t="s">
        <v>555</v>
      </c>
      <c r="I170" s="409" t="s">
        <v>350</v>
      </c>
      <c r="J170" s="409" t="s">
        <v>350</v>
      </c>
      <c r="K170" s="408" t="s">
        <v>350</v>
      </c>
      <c r="L170" s="408"/>
      <c r="M170" s="408" t="s">
        <v>285</v>
      </c>
      <c r="N170" s="408" t="s">
        <v>286</v>
      </c>
      <c r="O170" s="409" t="s">
        <v>511</v>
      </c>
      <c r="P170" s="409" t="s">
        <v>350</v>
      </c>
      <c r="Q170" s="409"/>
      <c r="R170" s="409" t="s">
        <v>963</v>
      </c>
      <c r="S170" s="393" t="s">
        <v>794</v>
      </c>
      <c r="T170" s="394"/>
      <c r="U170" s="393" t="s">
        <v>794</v>
      </c>
      <c r="V170" s="393"/>
      <c r="W170" s="395"/>
      <c r="X170" s="393"/>
      <c r="Y170" s="396"/>
      <c r="Z170" s="410"/>
      <c r="AA170" s="410"/>
      <c r="AB170" s="410"/>
      <c r="AC170" s="410"/>
      <c r="AD170" s="410"/>
      <c r="AE170" s="410"/>
      <c r="AF170" s="410"/>
      <c r="AG170" s="410"/>
      <c r="AH170" s="410"/>
      <c r="AI170" s="410"/>
      <c r="AJ170" s="410"/>
      <c r="AK170" s="410"/>
      <c r="AL170" s="410"/>
      <c r="AM170" s="410"/>
      <c r="AN170" s="410"/>
      <c r="AO170" s="410"/>
      <c r="AP170" s="410"/>
      <c r="AQ170" s="410"/>
      <c r="AR170" s="410"/>
      <c r="AS170" s="410"/>
      <c r="AT170" s="410"/>
      <c r="AU170" s="410"/>
      <c r="AV170" s="410"/>
      <c r="AW170" s="410"/>
      <c r="AX170" s="410"/>
      <c r="AY170" s="410"/>
      <c r="AZ170" s="411"/>
    </row>
    <row r="171" spans="1:52" s="469" customFormat="1" ht="60" x14ac:dyDescent="0.25">
      <c r="A171" s="520">
        <v>47</v>
      </c>
      <c r="B171" s="137" t="s">
        <v>120</v>
      </c>
      <c r="C171" s="141" t="s">
        <v>556</v>
      </c>
      <c r="D171" s="137" t="s">
        <v>446</v>
      </c>
      <c r="E171" s="137" t="s">
        <v>551</v>
      </c>
      <c r="F171" s="137" t="s">
        <v>538</v>
      </c>
      <c r="G171" s="137" t="s">
        <v>306</v>
      </c>
      <c r="H171" s="141" t="s">
        <v>557</v>
      </c>
      <c r="I171" s="141" t="s">
        <v>350</v>
      </c>
      <c r="J171" s="141" t="s">
        <v>350</v>
      </c>
      <c r="K171" s="137" t="s">
        <v>350</v>
      </c>
      <c r="L171" s="137"/>
      <c r="M171" s="137" t="s">
        <v>285</v>
      </c>
      <c r="N171" s="137" t="s">
        <v>286</v>
      </c>
      <c r="O171" s="141" t="s">
        <v>511</v>
      </c>
      <c r="P171" s="141" t="s">
        <v>350</v>
      </c>
      <c r="Q171" s="141"/>
      <c r="R171" s="141" t="s">
        <v>987</v>
      </c>
      <c r="S171" s="189" t="s">
        <v>794</v>
      </c>
      <c r="T171" s="213" t="s">
        <v>794</v>
      </c>
      <c r="U171" s="189"/>
      <c r="V171" s="189"/>
      <c r="W171" s="214"/>
      <c r="X171" s="189"/>
      <c r="Y171" s="215"/>
      <c r="Z171" s="824" t="s">
        <v>3</v>
      </c>
      <c r="AA171" s="824"/>
      <c r="AB171" s="825"/>
      <c r="AC171" s="824" t="s">
        <v>4</v>
      </c>
      <c r="AD171" s="824"/>
      <c r="AE171" s="825"/>
      <c r="AF171" s="823" t="s">
        <v>5</v>
      </c>
      <c r="AG171" s="824"/>
      <c r="AH171" s="825"/>
      <c r="AI171" s="824" t="s">
        <v>251</v>
      </c>
      <c r="AJ171" s="824"/>
      <c r="AK171" s="824"/>
      <c r="AL171" s="823" t="s">
        <v>252</v>
      </c>
      <c r="AM171" s="824"/>
      <c r="AN171" s="825"/>
      <c r="AO171" s="824" t="s">
        <v>6</v>
      </c>
      <c r="AP171" s="824"/>
      <c r="AQ171" s="825"/>
      <c r="AR171" s="824" t="s">
        <v>8</v>
      </c>
      <c r="AS171" s="824"/>
      <c r="AT171" s="825"/>
      <c r="AU171" s="824" t="s">
        <v>7</v>
      </c>
      <c r="AV171" s="824"/>
      <c r="AW171" s="824"/>
      <c r="AX171" s="832" t="s">
        <v>799</v>
      </c>
      <c r="AY171" s="832"/>
      <c r="AZ171" s="832"/>
    </row>
    <row r="172" spans="1:52" s="469" customFormat="1" ht="15.75" x14ac:dyDescent="0.25">
      <c r="A172" s="520"/>
      <c r="B172" s="137"/>
      <c r="C172" s="141"/>
      <c r="D172" s="137"/>
      <c r="E172" s="137"/>
      <c r="F172" s="137"/>
      <c r="G172" s="137"/>
      <c r="H172" s="141"/>
      <c r="I172" s="141"/>
      <c r="J172" s="141"/>
      <c r="K172" s="137"/>
      <c r="L172" s="137"/>
      <c r="M172" s="137"/>
      <c r="N172" s="137"/>
      <c r="O172" s="141"/>
      <c r="P172" s="141"/>
      <c r="Q172" s="141"/>
      <c r="R172" s="141"/>
      <c r="S172" s="189"/>
      <c r="T172" s="213"/>
      <c r="U172" s="189"/>
      <c r="V172" s="189"/>
      <c r="W172" s="214"/>
      <c r="X172" s="189"/>
      <c r="Y172" s="215"/>
      <c r="Z172" s="681">
        <v>1996</v>
      </c>
      <c r="AA172" s="681">
        <v>2001</v>
      </c>
      <c r="AB172" s="718">
        <v>2011</v>
      </c>
      <c r="AC172" s="681">
        <v>1996</v>
      </c>
      <c r="AD172" s="681">
        <v>2001</v>
      </c>
      <c r="AE172" s="718">
        <v>2011</v>
      </c>
      <c r="AF172" s="681">
        <v>1996</v>
      </c>
      <c r="AG172" s="681">
        <v>2001</v>
      </c>
      <c r="AH172" s="718">
        <v>2011</v>
      </c>
      <c r="AI172" s="681">
        <v>1996</v>
      </c>
      <c r="AJ172" s="681">
        <v>2001</v>
      </c>
      <c r="AK172" s="718">
        <v>2011</v>
      </c>
      <c r="AL172" s="681">
        <v>1996</v>
      </c>
      <c r="AM172" s="681">
        <v>2001</v>
      </c>
      <c r="AN172" s="718">
        <v>2011</v>
      </c>
      <c r="AO172" s="681">
        <v>1996</v>
      </c>
      <c r="AP172" s="681">
        <v>2001</v>
      </c>
      <c r="AQ172" s="718">
        <v>2011</v>
      </c>
      <c r="AR172" s="681">
        <v>1996</v>
      </c>
      <c r="AS172" s="681">
        <v>2001</v>
      </c>
      <c r="AT172" s="718">
        <v>2011</v>
      </c>
      <c r="AU172" s="681">
        <v>1996</v>
      </c>
      <c r="AV172" s="681">
        <v>2001</v>
      </c>
      <c r="AW172" s="718">
        <v>2011</v>
      </c>
      <c r="AX172" s="702">
        <v>1996</v>
      </c>
      <c r="AY172" s="702">
        <v>2001</v>
      </c>
      <c r="AZ172" s="719">
        <v>2011</v>
      </c>
    </row>
    <row r="173" spans="1:52" s="469" customFormat="1" ht="15.75" x14ac:dyDescent="0.25">
      <c r="A173" s="520"/>
      <c r="B173" s="137"/>
      <c r="C173" s="141"/>
      <c r="D173" s="137"/>
      <c r="E173" s="137"/>
      <c r="F173" s="137"/>
      <c r="G173" s="137"/>
      <c r="H173" s="141"/>
      <c r="I173" s="141"/>
      <c r="J173" s="141"/>
      <c r="K173" s="137"/>
      <c r="L173" s="137"/>
      <c r="M173" s="137"/>
      <c r="N173" s="137"/>
      <c r="O173" s="141"/>
      <c r="P173" s="141"/>
      <c r="Q173" s="141"/>
      <c r="R173" s="141"/>
      <c r="S173" s="189"/>
      <c r="T173" s="213"/>
      <c r="U173" s="189"/>
      <c r="V173" s="189"/>
      <c r="W173" s="214"/>
      <c r="X173" s="189"/>
      <c r="Y173" s="215"/>
      <c r="Z173" s="275"/>
      <c r="AA173" s="275"/>
      <c r="AB173" s="566">
        <v>547926</v>
      </c>
      <c r="AC173" s="275"/>
      <c r="AD173" s="275"/>
      <c r="AE173" s="566">
        <v>401766</v>
      </c>
      <c r="AF173" s="275"/>
      <c r="AG173" s="275"/>
      <c r="AH173" s="567">
        <v>488934</v>
      </c>
      <c r="AI173" s="275"/>
      <c r="AJ173" s="275"/>
      <c r="AK173" s="566">
        <v>311796</v>
      </c>
      <c r="AL173" s="275"/>
      <c r="AM173" s="275"/>
      <c r="AN173" s="566">
        <v>359631</v>
      </c>
      <c r="AO173" s="275"/>
      <c r="AP173" s="275"/>
      <c r="AQ173" s="566">
        <v>115326</v>
      </c>
      <c r="AR173" s="275"/>
      <c r="AS173" s="275"/>
      <c r="AT173" s="566">
        <v>62664</v>
      </c>
      <c r="AU173" s="275"/>
      <c r="AV173" s="275"/>
      <c r="AW173" s="566">
        <v>69924</v>
      </c>
      <c r="AX173" s="275"/>
      <c r="AY173" s="275"/>
      <c r="AZ173" s="539" t="s">
        <v>984</v>
      </c>
    </row>
    <row r="174" spans="1:52" s="469" customFormat="1" ht="15.75" x14ac:dyDescent="0.25">
      <c r="A174" s="520"/>
      <c r="B174" s="137"/>
      <c r="C174" s="141"/>
      <c r="D174" s="137"/>
      <c r="E174" s="137"/>
      <c r="F174" s="137"/>
      <c r="G174" s="137"/>
      <c r="H174" s="141"/>
      <c r="I174" s="141"/>
      <c r="J174" s="141"/>
      <c r="K174" s="137"/>
      <c r="L174" s="137"/>
      <c r="M174" s="137"/>
      <c r="N174" s="137"/>
      <c r="O174" s="141"/>
      <c r="P174" s="141"/>
      <c r="Q174" s="141"/>
      <c r="R174" s="141"/>
      <c r="S174" s="189"/>
      <c r="T174" s="213"/>
      <c r="U174" s="189"/>
      <c r="V174" s="189"/>
      <c r="W174" s="214"/>
      <c r="X174" s="189"/>
      <c r="Y174" s="21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475"/>
    </row>
    <row r="175" spans="1:52" s="412" customFormat="1" ht="60" x14ac:dyDescent="0.25">
      <c r="A175" s="407">
        <v>48</v>
      </c>
      <c r="B175" s="413" t="s">
        <v>121</v>
      </c>
      <c r="C175" s="414" t="s">
        <v>558</v>
      </c>
      <c r="D175" s="413" t="s">
        <v>446</v>
      </c>
      <c r="E175" s="413" t="s">
        <v>551</v>
      </c>
      <c r="F175" s="413" t="s">
        <v>538</v>
      </c>
      <c r="G175" s="413" t="s">
        <v>306</v>
      </c>
      <c r="H175" s="414" t="s">
        <v>539</v>
      </c>
      <c r="I175" s="414" t="s">
        <v>540</v>
      </c>
      <c r="J175" s="414" t="s">
        <v>541</v>
      </c>
      <c r="K175" s="413" t="s">
        <v>542</v>
      </c>
      <c r="L175" s="413"/>
      <c r="M175" s="413" t="s">
        <v>285</v>
      </c>
      <c r="N175" s="413" t="s">
        <v>286</v>
      </c>
      <c r="O175" s="414" t="s">
        <v>511</v>
      </c>
      <c r="P175" s="414" t="s">
        <v>350</v>
      </c>
      <c r="Q175" s="414"/>
      <c r="R175" s="409" t="s">
        <v>963</v>
      </c>
      <c r="S175" s="393" t="s">
        <v>794</v>
      </c>
      <c r="T175" s="394"/>
      <c r="U175" s="393" t="s">
        <v>794</v>
      </c>
      <c r="V175" s="393"/>
      <c r="W175" s="395"/>
      <c r="X175" s="393"/>
      <c r="Y175" s="396"/>
      <c r="Z175" s="410"/>
      <c r="AA175" s="410"/>
      <c r="AB175" s="410"/>
      <c r="AC175" s="410"/>
      <c r="AD175" s="410"/>
      <c r="AE175" s="410"/>
      <c r="AF175" s="410"/>
      <c r="AG175" s="410"/>
      <c r="AH175" s="410"/>
      <c r="AI175" s="410"/>
      <c r="AJ175" s="410"/>
      <c r="AK175" s="410"/>
      <c r="AL175" s="410"/>
      <c r="AM175" s="410"/>
      <c r="AN175" s="410"/>
      <c r="AO175" s="410"/>
      <c r="AP175" s="410"/>
      <c r="AQ175" s="410"/>
      <c r="AR175" s="410"/>
      <c r="AS175" s="410"/>
      <c r="AT175" s="410"/>
      <c r="AU175" s="410"/>
      <c r="AV175" s="410"/>
      <c r="AW175" s="410"/>
      <c r="AX175" s="410"/>
      <c r="AY175" s="410"/>
      <c r="AZ175" s="411"/>
    </row>
    <row r="176" spans="1:52" s="412" customFormat="1" ht="60" x14ac:dyDescent="0.25">
      <c r="A176" s="407">
        <v>49</v>
      </c>
      <c r="B176" s="408" t="s">
        <v>122</v>
      </c>
      <c r="C176" s="409" t="s">
        <v>559</v>
      </c>
      <c r="D176" s="408" t="s">
        <v>446</v>
      </c>
      <c r="E176" s="408" t="s">
        <v>551</v>
      </c>
      <c r="F176" s="408" t="s">
        <v>538</v>
      </c>
      <c r="G176" s="408" t="s">
        <v>279</v>
      </c>
      <c r="H176" s="409" t="s">
        <v>539</v>
      </c>
      <c r="I176" s="409" t="s">
        <v>540</v>
      </c>
      <c r="J176" s="409" t="s">
        <v>541</v>
      </c>
      <c r="K176" s="408" t="s">
        <v>542</v>
      </c>
      <c r="L176" s="408"/>
      <c r="M176" s="408" t="s">
        <v>285</v>
      </c>
      <c r="N176" s="408" t="s">
        <v>286</v>
      </c>
      <c r="O176" s="409" t="s">
        <v>511</v>
      </c>
      <c r="P176" s="409" t="s">
        <v>350</v>
      </c>
      <c r="Q176" s="409"/>
      <c r="R176" s="409" t="s">
        <v>963</v>
      </c>
      <c r="S176" s="393" t="s">
        <v>794</v>
      </c>
      <c r="T176" s="394"/>
      <c r="U176" s="393" t="s">
        <v>794</v>
      </c>
      <c r="V176" s="393"/>
      <c r="W176" s="395"/>
      <c r="X176" s="393"/>
      <c r="Y176" s="396"/>
      <c r="Z176" s="410"/>
      <c r="AA176" s="410"/>
      <c r="AB176" s="410"/>
      <c r="AC176" s="410"/>
      <c r="AD176" s="410"/>
      <c r="AE176" s="410"/>
      <c r="AF176" s="410"/>
      <c r="AG176" s="410"/>
      <c r="AH176" s="410"/>
      <c r="AI176" s="410"/>
      <c r="AJ176" s="410"/>
      <c r="AK176" s="410"/>
      <c r="AL176" s="410"/>
      <c r="AM176" s="410"/>
      <c r="AN176" s="410"/>
      <c r="AO176" s="410"/>
      <c r="AP176" s="410"/>
      <c r="AQ176" s="410"/>
      <c r="AR176" s="410"/>
      <c r="AS176" s="410"/>
      <c r="AT176" s="410"/>
      <c r="AU176" s="410"/>
      <c r="AV176" s="410"/>
      <c r="AW176" s="410"/>
      <c r="AX176" s="410"/>
      <c r="AY176" s="410"/>
      <c r="AZ176" s="411"/>
    </row>
    <row r="177" spans="1:52" s="412" customFormat="1" ht="60" x14ac:dyDescent="0.25">
      <c r="A177" s="407">
        <v>50</v>
      </c>
      <c r="B177" s="408" t="s">
        <v>123</v>
      </c>
      <c r="C177" s="409" t="s">
        <v>560</v>
      </c>
      <c r="D177" s="408" t="s">
        <v>446</v>
      </c>
      <c r="E177" s="408" t="s">
        <v>551</v>
      </c>
      <c r="F177" s="408" t="s">
        <v>538</v>
      </c>
      <c r="G177" s="408" t="s">
        <v>306</v>
      </c>
      <c r="H177" s="409" t="s">
        <v>539</v>
      </c>
      <c r="I177" s="409" t="s">
        <v>540</v>
      </c>
      <c r="J177" s="409" t="s">
        <v>541</v>
      </c>
      <c r="K177" s="408" t="s">
        <v>542</v>
      </c>
      <c r="L177" s="408"/>
      <c r="M177" s="408" t="s">
        <v>285</v>
      </c>
      <c r="N177" s="408" t="s">
        <v>286</v>
      </c>
      <c r="O177" s="409" t="s">
        <v>511</v>
      </c>
      <c r="P177" s="409" t="s">
        <v>350</v>
      </c>
      <c r="Q177" s="409"/>
      <c r="R177" s="409" t="s">
        <v>963</v>
      </c>
      <c r="S177" s="393" t="s">
        <v>794</v>
      </c>
      <c r="T177" s="394"/>
      <c r="U177" s="393" t="s">
        <v>794</v>
      </c>
      <c r="V177" s="393"/>
      <c r="W177" s="395"/>
      <c r="X177" s="393"/>
      <c r="Y177" s="396"/>
      <c r="Z177" s="410"/>
      <c r="AA177" s="410"/>
      <c r="AB177" s="410"/>
      <c r="AC177" s="410"/>
      <c r="AD177" s="410"/>
      <c r="AE177" s="410"/>
      <c r="AF177" s="410"/>
      <c r="AG177" s="410"/>
      <c r="AH177" s="410"/>
      <c r="AI177" s="410"/>
      <c r="AJ177" s="410"/>
      <c r="AK177" s="410"/>
      <c r="AL177" s="410"/>
      <c r="AM177" s="410"/>
      <c r="AN177" s="410"/>
      <c r="AO177" s="410"/>
      <c r="AP177" s="410"/>
      <c r="AQ177" s="410"/>
      <c r="AR177" s="410"/>
      <c r="AS177" s="410"/>
      <c r="AT177" s="410"/>
      <c r="AU177" s="410"/>
      <c r="AV177" s="410"/>
      <c r="AW177" s="410"/>
      <c r="AX177" s="410"/>
      <c r="AY177" s="410"/>
      <c r="AZ177" s="411"/>
    </row>
    <row r="178" spans="1:52" s="412" customFormat="1" ht="60" x14ac:dyDescent="0.25">
      <c r="A178" s="407">
        <v>51</v>
      </c>
      <c r="B178" s="408" t="s">
        <v>124</v>
      </c>
      <c r="C178" s="409" t="s">
        <v>561</v>
      </c>
      <c r="D178" s="408" t="s">
        <v>446</v>
      </c>
      <c r="E178" s="408" t="s">
        <v>551</v>
      </c>
      <c r="F178" s="408" t="s">
        <v>350</v>
      </c>
      <c r="G178" s="408" t="s">
        <v>279</v>
      </c>
      <c r="H178" s="409" t="s">
        <v>285</v>
      </c>
      <c r="I178" s="409" t="s">
        <v>350</v>
      </c>
      <c r="J178" s="409" t="s">
        <v>350</v>
      </c>
      <c r="K178" s="408" t="s">
        <v>350</v>
      </c>
      <c r="L178" s="408"/>
      <c r="M178" s="408" t="s">
        <v>285</v>
      </c>
      <c r="N178" s="408" t="s">
        <v>286</v>
      </c>
      <c r="O178" s="409" t="s">
        <v>511</v>
      </c>
      <c r="P178" s="409" t="s">
        <v>350</v>
      </c>
      <c r="Q178" s="409"/>
      <c r="R178" s="409" t="s">
        <v>963</v>
      </c>
      <c r="S178" s="393" t="s">
        <v>794</v>
      </c>
      <c r="T178" s="394"/>
      <c r="U178" s="393" t="s">
        <v>794</v>
      </c>
      <c r="V178" s="393"/>
      <c r="W178" s="395"/>
      <c r="X178" s="393"/>
      <c r="Y178" s="396"/>
      <c r="Z178" s="410"/>
      <c r="AA178" s="410"/>
      <c r="AB178" s="410"/>
      <c r="AC178" s="410"/>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0"/>
      <c r="AY178" s="410"/>
      <c r="AZ178" s="411"/>
    </row>
    <row r="179" spans="1:52" ht="60" x14ac:dyDescent="0.25">
      <c r="A179" s="148">
        <v>52</v>
      </c>
      <c r="B179" s="129" t="s">
        <v>125</v>
      </c>
      <c r="C179" s="130" t="s">
        <v>562</v>
      </c>
      <c r="D179" s="129" t="s">
        <v>446</v>
      </c>
      <c r="E179" s="129" t="s">
        <v>563</v>
      </c>
      <c r="F179" s="129" t="s">
        <v>538</v>
      </c>
      <c r="G179" s="129" t="s">
        <v>306</v>
      </c>
      <c r="H179" s="130" t="s">
        <v>285</v>
      </c>
      <c r="I179" s="130" t="s">
        <v>350</v>
      </c>
      <c r="J179" s="130" t="s">
        <v>350</v>
      </c>
      <c r="K179" s="129" t="s">
        <v>350</v>
      </c>
      <c r="L179" s="129"/>
      <c r="M179" s="129" t="s">
        <v>285</v>
      </c>
      <c r="N179" s="129" t="s">
        <v>286</v>
      </c>
      <c r="O179" s="130" t="s">
        <v>511</v>
      </c>
      <c r="P179" s="130" t="s">
        <v>350</v>
      </c>
      <c r="Q179" s="130"/>
      <c r="R179" s="141" t="s">
        <v>963</v>
      </c>
      <c r="S179" s="189"/>
      <c r="T179" s="213"/>
      <c r="U179" s="189" t="s">
        <v>794</v>
      </c>
      <c r="V179" s="189"/>
      <c r="W179" s="214"/>
      <c r="X179" s="189"/>
      <c r="Y179" s="215"/>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8"/>
    </row>
    <row r="180" spans="1:52" ht="60" x14ac:dyDescent="0.25">
      <c r="A180" s="148">
        <v>53</v>
      </c>
      <c r="B180" s="130" t="s">
        <v>126</v>
      </c>
      <c r="C180" s="130" t="s">
        <v>564</v>
      </c>
      <c r="D180" s="129" t="s">
        <v>446</v>
      </c>
      <c r="E180" s="129" t="s">
        <v>565</v>
      </c>
      <c r="F180" s="129" t="s">
        <v>538</v>
      </c>
      <c r="G180" s="129" t="s">
        <v>279</v>
      </c>
      <c r="H180" s="130" t="s">
        <v>566</v>
      </c>
      <c r="I180" s="130" t="s">
        <v>350</v>
      </c>
      <c r="J180" s="130" t="s">
        <v>350</v>
      </c>
      <c r="K180" s="129" t="s">
        <v>350</v>
      </c>
      <c r="L180" s="129"/>
      <c r="M180" s="129" t="s">
        <v>285</v>
      </c>
      <c r="N180" s="129" t="s">
        <v>286</v>
      </c>
      <c r="O180" s="130" t="s">
        <v>511</v>
      </c>
      <c r="P180" s="130" t="s">
        <v>350</v>
      </c>
      <c r="Q180" s="130"/>
      <c r="R180" s="141" t="s">
        <v>963</v>
      </c>
      <c r="S180" s="189"/>
      <c r="T180" s="213"/>
      <c r="U180" s="189" t="s">
        <v>794</v>
      </c>
      <c r="V180" s="189"/>
      <c r="W180" s="214"/>
      <c r="X180" s="189"/>
      <c r="Y180" s="215"/>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8"/>
    </row>
    <row r="181" spans="1:52" ht="94.5" customHeight="1" x14ac:dyDescent="0.25">
      <c r="B181" s="797" t="s">
        <v>1020</v>
      </c>
      <c r="C181" s="735" t="s">
        <v>1021</v>
      </c>
      <c r="D181" s="17" t="s">
        <v>446</v>
      </c>
      <c r="E181" s="5"/>
      <c r="F181" s="5"/>
      <c r="G181" s="5"/>
      <c r="H181" s="17" t="s">
        <v>1022</v>
      </c>
      <c r="I181" s="5"/>
      <c r="J181" s="5"/>
      <c r="K181" s="5"/>
      <c r="L181" s="5"/>
      <c r="M181" s="100" t="s">
        <v>285</v>
      </c>
      <c r="N181" s="100" t="s">
        <v>286</v>
      </c>
      <c r="O181" s="5"/>
      <c r="P181" s="5"/>
      <c r="Q181" s="5"/>
      <c r="R181" s="100" t="s">
        <v>1103</v>
      </c>
      <c r="S181" s="153"/>
      <c r="Y181" s="153"/>
      <c r="Z181" s="14">
        <v>2006</v>
      </c>
      <c r="AA181" s="14">
        <v>2007</v>
      </c>
      <c r="AB181" s="14">
        <v>2008</v>
      </c>
      <c r="AC181" s="14">
        <v>2009</v>
      </c>
      <c r="AD181" s="14">
        <v>2010</v>
      </c>
      <c r="AE181" s="14">
        <v>2011</v>
      </c>
      <c r="AF181" s="14">
        <v>2012</v>
      </c>
      <c r="AG181" s="14">
        <v>2013</v>
      </c>
      <c r="AH181" s="14">
        <v>2014</v>
      </c>
      <c r="AI181" s="14">
        <v>2015</v>
      </c>
    </row>
    <row r="182" spans="1:52" x14ac:dyDescent="0.25">
      <c r="B182" s="16" t="str">
        <f t="shared" ref="B182:B190" si="0">B131</f>
        <v>City of Johannesburg</v>
      </c>
      <c r="C182" s="735"/>
      <c r="D182" s="61"/>
      <c r="E182" s="5"/>
      <c r="F182" s="5"/>
      <c r="G182" s="5"/>
      <c r="H182" s="61"/>
      <c r="I182" s="5"/>
      <c r="J182" s="5"/>
      <c r="K182" s="5"/>
      <c r="L182" s="5"/>
      <c r="M182" s="5"/>
      <c r="N182" s="5"/>
      <c r="O182" s="5"/>
      <c r="P182" s="5"/>
      <c r="Q182" s="5"/>
      <c r="R182" s="5"/>
      <c r="S182" s="153"/>
      <c r="Y182" s="153"/>
      <c r="Z182" s="728">
        <v>0.68</v>
      </c>
      <c r="AA182" s="728">
        <v>0.68</v>
      </c>
      <c r="AB182" s="728">
        <v>0.64</v>
      </c>
      <c r="AC182" s="728">
        <v>0.7</v>
      </c>
      <c r="AE182" s="728">
        <v>0.64</v>
      </c>
      <c r="AF182" s="728">
        <v>0.56999999999999995</v>
      </c>
      <c r="AG182" s="728">
        <v>0.53</v>
      </c>
      <c r="AH182" s="729">
        <v>0.52900000000000003</v>
      </c>
      <c r="AI182" s="729">
        <v>0.45100000000000001</v>
      </c>
    </row>
    <row r="183" spans="1:52" x14ac:dyDescent="0.25">
      <c r="B183" s="16" t="str">
        <f t="shared" si="0"/>
        <v>City of Tshwane</v>
      </c>
      <c r="C183" s="735"/>
      <c r="D183" s="61"/>
      <c r="E183" s="5"/>
      <c r="F183" s="5"/>
      <c r="G183" s="5"/>
      <c r="H183" s="61"/>
      <c r="I183" s="5"/>
      <c r="J183" s="5"/>
      <c r="K183" s="5"/>
      <c r="L183" s="5"/>
      <c r="M183" s="5"/>
      <c r="N183" s="5"/>
      <c r="O183" s="5"/>
      <c r="P183" s="5"/>
      <c r="Q183" s="5"/>
      <c r="R183" s="5"/>
      <c r="S183" s="153"/>
      <c r="Y183" s="153"/>
      <c r="Z183" s="728">
        <v>0.67</v>
      </c>
      <c r="AA183" s="728">
        <v>0.65</v>
      </c>
      <c r="AB183" s="728">
        <v>0.6</v>
      </c>
      <c r="AC183" s="728">
        <v>0.56999999999999995</v>
      </c>
      <c r="AE183" s="728">
        <v>0.57999999999999996</v>
      </c>
      <c r="AF183" s="729">
        <v>0.63300000000000001</v>
      </c>
      <c r="AG183" s="729">
        <v>0.66200000000000003</v>
      </c>
      <c r="AH183" s="729">
        <v>0.67500000000000004</v>
      </c>
    </row>
    <row r="184" spans="1:52" x14ac:dyDescent="0.25">
      <c r="B184" s="16" t="str">
        <f t="shared" si="0"/>
        <v>City of Cape Town</v>
      </c>
      <c r="C184" s="735"/>
      <c r="D184" s="61"/>
      <c r="E184" s="5"/>
      <c r="F184" s="5"/>
      <c r="G184" s="5"/>
      <c r="H184" s="61"/>
      <c r="I184" s="5"/>
      <c r="J184" s="5"/>
      <c r="K184" s="5"/>
      <c r="L184" s="5"/>
      <c r="M184" s="5"/>
      <c r="N184" s="5"/>
      <c r="O184" s="5"/>
      <c r="P184" s="5"/>
      <c r="Q184" s="5"/>
      <c r="R184" s="5"/>
      <c r="S184" s="153"/>
      <c r="Y184" s="153"/>
      <c r="Z184" s="728">
        <v>0.72</v>
      </c>
      <c r="AA184" s="728">
        <v>0.92</v>
      </c>
      <c r="AB184" s="728">
        <v>0.9</v>
      </c>
      <c r="AC184" s="728">
        <v>0.88</v>
      </c>
      <c r="AE184" s="728">
        <v>0.82</v>
      </c>
      <c r="AF184" s="729">
        <v>0.94799999999999995</v>
      </c>
      <c r="AG184" s="729">
        <v>0.94299999999999995</v>
      </c>
      <c r="AH184">
        <v>97.6</v>
      </c>
    </row>
    <row r="185" spans="1:52" x14ac:dyDescent="0.25">
      <c r="B185" s="16" t="str">
        <f t="shared" si="0"/>
        <v>EThekwini Municipality</v>
      </c>
      <c r="C185" s="735"/>
      <c r="D185" s="61"/>
      <c r="E185" s="5"/>
      <c r="F185" s="5"/>
      <c r="G185" s="5"/>
      <c r="H185" s="61"/>
      <c r="I185" s="5"/>
      <c r="J185" s="5"/>
      <c r="K185" s="5"/>
      <c r="L185" s="5"/>
      <c r="M185" s="5"/>
      <c r="N185" s="5"/>
      <c r="O185" s="5"/>
      <c r="P185" s="5"/>
      <c r="Q185" s="5"/>
      <c r="R185" s="5"/>
      <c r="S185" s="153"/>
      <c r="Y185" s="153"/>
      <c r="Z185" s="728">
        <v>0.72</v>
      </c>
      <c r="AA185" s="728">
        <v>0.7</v>
      </c>
      <c r="AB185" s="728">
        <v>0.68</v>
      </c>
      <c r="AC185" s="728">
        <v>0.74</v>
      </c>
      <c r="AE185" s="728">
        <v>0.56999999999999995</v>
      </c>
      <c r="AF185" s="729">
        <v>0.749</v>
      </c>
      <c r="AG185" s="729">
        <v>0.76500000000000001</v>
      </c>
      <c r="AH185" s="729">
        <v>0.83199999999999996</v>
      </c>
    </row>
    <row r="186" spans="1:52" x14ac:dyDescent="0.25">
      <c r="B186" s="16" t="str">
        <f t="shared" si="0"/>
        <v>Ekurhuleni Municipality</v>
      </c>
      <c r="C186" s="735"/>
      <c r="D186" s="61"/>
      <c r="E186" s="5"/>
      <c r="F186" s="5"/>
      <c r="G186" s="5"/>
      <c r="H186" s="61"/>
      <c r="I186" s="5"/>
      <c r="J186" s="5"/>
      <c r="K186" s="5"/>
      <c r="L186" s="5"/>
      <c r="M186" s="5"/>
      <c r="N186" s="5"/>
      <c r="O186" s="5"/>
      <c r="P186" s="5"/>
      <c r="Q186" s="5"/>
      <c r="R186" s="5"/>
      <c r="S186" s="153"/>
      <c r="Y186" s="153"/>
      <c r="Z186" s="728">
        <v>0.72</v>
      </c>
      <c r="AA186" s="728">
        <v>0.81</v>
      </c>
      <c r="AB186" s="728">
        <v>0.71</v>
      </c>
      <c r="AC186" s="728">
        <v>0.72</v>
      </c>
      <c r="AE186" s="728">
        <v>0.7</v>
      </c>
      <c r="AF186" s="729">
        <v>0.80400000000000005</v>
      </c>
      <c r="AG186" s="729">
        <v>0.871</v>
      </c>
      <c r="AH186" s="729">
        <v>0.89200000000000002</v>
      </c>
    </row>
    <row r="187" spans="1:52" x14ac:dyDescent="0.25">
      <c r="B187" s="16" t="str">
        <f t="shared" si="0"/>
        <v>Nelson Mandela Bay Municipality</v>
      </c>
      <c r="C187" s="735"/>
      <c r="D187" s="61"/>
      <c r="E187" s="5"/>
      <c r="F187" s="5"/>
      <c r="G187" s="5"/>
      <c r="H187" s="61"/>
      <c r="I187" s="5"/>
      <c r="J187" s="5"/>
      <c r="K187" s="5"/>
      <c r="L187" s="5"/>
      <c r="M187" s="5"/>
      <c r="N187" s="5"/>
      <c r="O187" s="5"/>
      <c r="P187" s="5"/>
      <c r="Q187" s="5"/>
      <c r="R187" s="5"/>
      <c r="S187" s="153"/>
      <c r="Y187" s="153"/>
      <c r="Z187" s="728">
        <v>0.78</v>
      </c>
      <c r="AA187" s="728">
        <v>0.71</v>
      </c>
      <c r="AB187" s="728">
        <v>0.79</v>
      </c>
      <c r="AC187" s="728">
        <v>0.76</v>
      </c>
      <c r="AD187" s="728">
        <v>0.62</v>
      </c>
      <c r="AE187" s="729">
        <v>0.68700000000000006</v>
      </c>
      <c r="AF187" s="729">
        <v>0.67100000000000004</v>
      </c>
      <c r="AG187" s="729">
        <v>0.58499999999999996</v>
      </c>
    </row>
    <row r="188" spans="1:52" x14ac:dyDescent="0.25">
      <c r="B188" s="16" t="str">
        <f t="shared" si="0"/>
        <v>Buffalo City Municipality</v>
      </c>
      <c r="C188" s="735"/>
      <c r="D188" s="61"/>
      <c r="E188" s="5"/>
      <c r="F188" s="5"/>
      <c r="G188" s="5"/>
      <c r="H188" s="61"/>
      <c r="I188" s="5"/>
      <c r="J188" s="5"/>
      <c r="K188" s="5"/>
      <c r="L188" s="5"/>
      <c r="M188" s="5"/>
      <c r="N188" s="5"/>
      <c r="O188" s="5"/>
      <c r="P188" s="5"/>
      <c r="Q188" s="5"/>
      <c r="R188" s="5"/>
      <c r="S188" s="153"/>
      <c r="Y188" s="153"/>
      <c r="AF188" s="729">
        <v>0.72899999999999998</v>
      </c>
      <c r="AG188" s="729">
        <v>0.68200000000000005</v>
      </c>
      <c r="AH188" s="729">
        <v>0.64900000000000002</v>
      </c>
    </row>
    <row r="189" spans="1:52" x14ac:dyDescent="0.25">
      <c r="B189" s="16" t="str">
        <f t="shared" si="0"/>
        <v>Mangaung Municipality</v>
      </c>
      <c r="C189" s="735"/>
      <c r="D189" s="61"/>
      <c r="E189" s="5"/>
      <c r="F189" s="5"/>
      <c r="G189" s="5"/>
      <c r="H189" s="61"/>
      <c r="I189" s="5"/>
      <c r="J189" s="5"/>
      <c r="K189" s="5"/>
      <c r="L189" s="5"/>
      <c r="M189" s="5"/>
      <c r="N189" s="5"/>
      <c r="O189" s="5"/>
      <c r="P189" s="5"/>
      <c r="Q189" s="5"/>
      <c r="R189" s="5"/>
      <c r="S189" s="153"/>
      <c r="Y189" s="153"/>
      <c r="AG189" s="729">
        <v>0.82499999999999996</v>
      </c>
      <c r="AH189" s="729">
        <v>0.74299999999999999</v>
      </c>
    </row>
    <row r="190" spans="1:52" x14ac:dyDescent="0.25">
      <c r="B190" s="16" t="str">
        <f t="shared" si="0"/>
        <v xml:space="preserve">Msunduzi Municipality </v>
      </c>
      <c r="C190" s="735"/>
      <c r="D190" s="5"/>
      <c r="E190" s="5"/>
      <c r="F190" s="5"/>
      <c r="G190" s="5"/>
      <c r="H190" s="5"/>
      <c r="I190" s="5"/>
      <c r="J190" s="5"/>
      <c r="K190" s="5"/>
      <c r="L190" s="5"/>
      <c r="M190" s="5"/>
      <c r="N190" s="5"/>
      <c r="O190" s="5"/>
      <c r="P190" s="5"/>
      <c r="Q190" s="5"/>
      <c r="R190" s="5"/>
      <c r="S190" s="153"/>
      <c r="Y190" s="153"/>
    </row>
    <row r="191" spans="1:52" ht="91.5" customHeight="1" x14ac:dyDescent="0.25">
      <c r="B191" s="736" t="s">
        <v>1090</v>
      </c>
      <c r="C191" s="796" t="s">
        <v>1086</v>
      </c>
      <c r="D191" s="17" t="s">
        <v>1087</v>
      </c>
      <c r="E191" s="17" t="s">
        <v>1088</v>
      </c>
      <c r="F191" s="100"/>
      <c r="G191" s="17" t="s">
        <v>279</v>
      </c>
      <c r="H191" s="17" t="s">
        <v>1089</v>
      </c>
      <c r="I191" s="5"/>
      <c r="J191" s="5"/>
      <c r="K191" s="5"/>
      <c r="L191" s="5"/>
      <c r="M191" s="17" t="s">
        <v>1075</v>
      </c>
      <c r="N191" s="5"/>
      <c r="O191" s="5"/>
      <c r="P191" s="5"/>
      <c r="Q191" s="5"/>
      <c r="R191" s="17" t="s">
        <v>1103</v>
      </c>
      <c r="S191" s="153"/>
      <c r="Y191" s="153"/>
    </row>
    <row r="192" spans="1:52" ht="23.25" customHeight="1" x14ac:dyDescent="0.25">
      <c r="B192" s="736"/>
      <c r="L192" s="5"/>
      <c r="M192" s="5"/>
      <c r="N192" s="5"/>
      <c r="O192" s="5"/>
      <c r="P192" s="5"/>
      <c r="Q192" s="5"/>
      <c r="R192" s="5"/>
      <c r="S192" s="153"/>
      <c r="Y192" s="153"/>
      <c r="Z192" s="794" t="s">
        <v>1079</v>
      </c>
      <c r="AA192" s="795" t="s">
        <v>1026</v>
      </c>
      <c r="AB192" s="795" t="s">
        <v>1023</v>
      </c>
      <c r="AC192" s="795" t="s">
        <v>1024</v>
      </c>
      <c r="AD192" s="795" t="s">
        <v>1080</v>
      </c>
      <c r="AE192" s="795" t="s">
        <v>1025</v>
      </c>
      <c r="AF192" s="795" t="s">
        <v>1049</v>
      </c>
      <c r="AG192" s="795" t="s">
        <v>1050</v>
      </c>
      <c r="AH192" s="795" t="s">
        <v>1048</v>
      </c>
    </row>
    <row r="193" spans="2:34" x14ac:dyDescent="0.25">
      <c r="B193" s="793" t="s">
        <v>1044</v>
      </c>
      <c r="E193" s="57"/>
      <c r="F193" s="57"/>
      <c r="L193" s="5"/>
      <c r="M193" s="5"/>
      <c r="N193" s="5"/>
      <c r="O193" s="5"/>
      <c r="P193" s="5"/>
      <c r="Q193" s="5"/>
      <c r="R193" s="5"/>
      <c r="S193" s="153"/>
      <c r="Y193" s="153"/>
      <c r="Z193" s="61">
        <v>27885</v>
      </c>
      <c r="AA193" s="61">
        <v>154701</v>
      </c>
      <c r="AB193" s="61">
        <v>191988</v>
      </c>
      <c r="AC193" s="61">
        <v>235605</v>
      </c>
      <c r="AD193" s="61">
        <v>137634</v>
      </c>
      <c r="AE193" s="735">
        <v>62724</v>
      </c>
      <c r="AF193" s="60">
        <v>1503</v>
      </c>
      <c r="AH193" s="61">
        <f>SUM(Z193:AF193)</f>
        <v>812040</v>
      </c>
    </row>
    <row r="194" spans="2:34" x14ac:dyDescent="0.25">
      <c r="B194" s="793" t="s">
        <v>1046</v>
      </c>
      <c r="L194" s="5"/>
      <c r="M194" s="5"/>
      <c r="N194" s="5"/>
      <c r="O194" s="5"/>
      <c r="P194" s="5"/>
      <c r="Q194" s="5"/>
      <c r="R194" s="5"/>
      <c r="S194" s="153"/>
      <c r="Y194" s="153"/>
      <c r="Z194" s="61">
        <v>129060</v>
      </c>
      <c r="AA194" s="61">
        <v>664245</v>
      </c>
      <c r="AB194" s="61">
        <v>163188</v>
      </c>
      <c r="AC194" s="61">
        <v>1251084</v>
      </c>
      <c r="AD194" s="61">
        <v>1124502</v>
      </c>
      <c r="AE194" s="735">
        <v>573066</v>
      </c>
      <c r="AF194" s="60">
        <v>20292</v>
      </c>
      <c r="AG194" s="61"/>
      <c r="AH194" s="61">
        <v>3925437</v>
      </c>
    </row>
    <row r="195" spans="2:34" x14ac:dyDescent="0.25">
      <c r="B195" s="793" t="s">
        <v>1083</v>
      </c>
      <c r="L195" s="5"/>
      <c r="M195" s="5"/>
      <c r="N195" s="5"/>
      <c r="O195" s="5"/>
      <c r="P195" s="5"/>
      <c r="Q195" s="5"/>
      <c r="R195" s="5"/>
      <c r="S195" s="153"/>
      <c r="V195" s="7"/>
      <c r="W195" s="7"/>
      <c r="Y195" s="153"/>
      <c r="Z195" s="61">
        <v>28656</v>
      </c>
      <c r="AA195" s="755">
        <f>SUM('[1]Space-Time Research'!B10, '[1]Space-Time Research'!C10, '[1]Space-Time Research'!D10,'[1]Space-Time Research'!E10, '[1]Space-Time Research'!F10, '[1]Space-Time Research'!G10, '[1]Space-Time Research'!H10)</f>
        <v>164232</v>
      </c>
      <c r="AB195" s="755">
        <f>SUM('[1]Space-Time Research'!B10,'[1]Space-Time Research'!C10,'[1]Space-Time Research'!D10,'[1]Space-Time Research'!E10,'[1]Space-Time Research'!F10,'[1]Space-Time Research'!G10,'[1]Space-Time Research'!H10,'[1]Space-Time Research'!I10)</f>
        <v>199254</v>
      </c>
      <c r="AC195" s="755">
        <f>SUM('[1]Space-Time Research'!J10,'[1]Space-Time Research'!K10,'[1]Space-Time Research'!L10,'[1]Space-Time Research'!M10,'[1]Space-Time Research'!P10,'[1]Space-Time Research'!O10,'[1]Space-Time Research'!U10,'[1]Space-Time Research'!V10)</f>
        <v>207879</v>
      </c>
      <c r="AD195" s="755">
        <f>SUM('[1]Space-Time Research'!N10,'[1]Space-Time Research'!Q10)</f>
        <v>149832</v>
      </c>
      <c r="AE195" s="754">
        <f>SUM('[1]Space-Time Research'!T10,'[1]Space-Time Research'!W10:AD10)</f>
        <v>62655</v>
      </c>
      <c r="AF195" s="60">
        <v>1842</v>
      </c>
      <c r="AG195" s="61"/>
      <c r="AH195" s="61">
        <f t="shared" ref="AH195:AH201" si="1">SUM(Z195:AF195)</f>
        <v>814350</v>
      </c>
    </row>
    <row r="196" spans="2:34" x14ac:dyDescent="0.25">
      <c r="B196" s="793" t="s">
        <v>1082</v>
      </c>
      <c r="L196" s="5"/>
      <c r="M196" s="5"/>
      <c r="N196" s="5"/>
      <c r="O196" s="5"/>
      <c r="P196" s="5"/>
      <c r="Q196" s="5"/>
      <c r="R196" s="5"/>
      <c r="S196" s="153"/>
      <c r="Y196" s="153"/>
      <c r="Z196" s="61">
        <v>104607</v>
      </c>
      <c r="AA196" s="61">
        <v>524187</v>
      </c>
      <c r="AB196" s="61">
        <v>642513</v>
      </c>
      <c r="AC196" s="755">
        <f>SUM('[1]Space-Time Research'!J11:M11,'[1]Space-Time Research'!P11,'[1]Space-Time Research'!O11,'[1]Space-Time Research'!U11,'[1]Space-Time Research'!V11)</f>
        <v>960915</v>
      </c>
      <c r="AD196" s="755">
        <f>SUM('[1]Space-Time Research'!N11,'[1]Space-Time Research'!Q11)</f>
        <v>811245</v>
      </c>
      <c r="AE196" s="754">
        <f>SUM('[1]Space-Time Research'!T11,'[1]Space-Time Research'!W11:AD11)</f>
        <v>289083</v>
      </c>
      <c r="AF196" s="735">
        <v>9924</v>
      </c>
      <c r="AH196" s="61">
        <f t="shared" si="1"/>
        <v>3342474</v>
      </c>
    </row>
    <row r="197" spans="2:34" x14ac:dyDescent="0.25">
      <c r="B197" s="793" t="s">
        <v>1045</v>
      </c>
      <c r="L197" s="5"/>
      <c r="M197" s="5"/>
      <c r="N197" s="5"/>
      <c r="O197" s="5"/>
      <c r="P197" s="5"/>
      <c r="Q197" s="5"/>
      <c r="R197" s="5"/>
      <c r="S197" s="153"/>
      <c r="Y197" s="153"/>
      <c r="Z197">
        <v>32055</v>
      </c>
      <c r="AA197" s="754">
        <f>SUM('[1]Space-Time Research'!B9:H9)</f>
        <v>219975</v>
      </c>
      <c r="AB197" s="754">
        <f>SUM('[1]Space-Time Research'!B9:I9)</f>
        <v>273723</v>
      </c>
      <c r="AC197" s="754">
        <f>SUM('[1]Space-Time Research'!J9:M9,'[1]Space-Time Research'!P9,'[1]Space-Time Research'!O9,'[1]Space-Time Research'!U9,'[1]Space-Time Research'!V90)</f>
        <v>383835</v>
      </c>
      <c r="AD197" s="754">
        <f>SUM('[1]Space-Time Research'!N9,'[1]Space-Time Research'!Q9)</f>
        <v>243933</v>
      </c>
      <c r="AE197" s="754">
        <f>SUM('[1]Space-Time Research'!T9,'[1]Space-Time Research'!W9:AD9)</f>
        <v>84012</v>
      </c>
      <c r="AF197" s="735">
        <v>3153</v>
      </c>
      <c r="AG197" s="61"/>
      <c r="AH197" s="61">
        <f t="shared" si="1"/>
        <v>1240686</v>
      </c>
    </row>
    <row r="198" spans="2:34" x14ac:dyDescent="0.25">
      <c r="B198" s="793" t="s">
        <v>1047</v>
      </c>
      <c r="L198" s="5"/>
      <c r="M198" s="5"/>
      <c r="N198" s="5"/>
      <c r="O198" s="5"/>
      <c r="P198" s="5"/>
      <c r="Q198" s="5"/>
      <c r="R198" s="5"/>
      <c r="S198" s="153"/>
      <c r="Y198" s="153"/>
      <c r="Z198" s="61">
        <v>107592</v>
      </c>
      <c r="AA198" s="755">
        <f>SUM('[1]Space-Time Research'!B13:H13)</f>
        <v>449514</v>
      </c>
      <c r="AB198" s="755">
        <f>SUM('[1]Space-Time Research'!B13:I13)</f>
        <v>547086</v>
      </c>
      <c r="AC198" s="755">
        <f>SUM('[1]Space-Time Research'!J13:M13,'[1]Space-Time Research'!P13,'[1]Space-Time Research'!O13,,'[1]Space-Time Research'!U13,'[1]Space-Time Research'!V13)</f>
        <v>736752</v>
      </c>
      <c r="AD198" s="755">
        <f>SUM('[1]Space-Time Research'!N13,'[1]Space-Time Research'!Q13)</f>
        <v>715593</v>
      </c>
      <c r="AE198" s="755">
        <f>SUM('[1]Space-Time Research'!T13,'[1]Space-Time Research'!W13:AD13)</f>
        <v>444633</v>
      </c>
      <c r="AF198" s="735">
        <v>11799</v>
      </c>
      <c r="AG198" s="61"/>
      <c r="AH198" s="61">
        <f t="shared" si="1"/>
        <v>3012969</v>
      </c>
    </row>
    <row r="199" spans="2:34" x14ac:dyDescent="0.25">
      <c r="B199" s="793" t="s">
        <v>1081</v>
      </c>
      <c r="L199" s="5"/>
      <c r="M199" s="5"/>
      <c r="N199" s="5"/>
      <c r="O199" s="5"/>
      <c r="P199" s="5"/>
      <c r="Q199" s="5"/>
      <c r="R199" s="5"/>
      <c r="S199" s="153"/>
      <c r="Y199" s="153"/>
      <c r="Z199" s="61">
        <v>121266</v>
      </c>
      <c r="AA199" s="755">
        <f>SUM('[1]Space-Time Research'!B14:H14)</f>
        <v>642990</v>
      </c>
      <c r="AB199" s="755">
        <f>SUM('[1]Space-Time Research'!B14:I14)</f>
        <v>779040</v>
      </c>
      <c r="AC199" s="755">
        <f>SUM('[1]Space-Time Research'!J14:M14,'[1]Space-Time Research'!P14,'[1]Space-Time Research'!O14,'[1]Space-Time Research'!U14,'[1]Space-Time Research'!V14)</f>
        <v>998760</v>
      </c>
      <c r="AD199" s="755">
        <f>SUM('[1]Space-Time Research'!N14,'[1]Space-Time Research'!Q14)</f>
        <v>895710</v>
      </c>
      <c r="AE199" s="754">
        <f>SUM('[1]Space-Time Research'!T14,'[1]Space-Time Research'!W14:AD14)</f>
        <v>266604</v>
      </c>
      <c r="AF199" s="60">
        <v>9051</v>
      </c>
      <c r="AH199" s="61">
        <f t="shared" si="1"/>
        <v>3713421</v>
      </c>
    </row>
    <row r="200" spans="2:34" ht="24" x14ac:dyDescent="0.25">
      <c r="B200" s="793" t="s">
        <v>1084</v>
      </c>
      <c r="L200" s="5"/>
      <c r="M200" s="5"/>
      <c r="N200" s="5"/>
      <c r="O200" s="5"/>
      <c r="P200" s="5"/>
      <c r="Q200" s="5"/>
      <c r="R200" s="5"/>
      <c r="S200" s="153"/>
      <c r="Y200" s="153"/>
      <c r="Z200" s="61">
        <v>25371</v>
      </c>
      <c r="AA200" s="61">
        <v>126138</v>
      </c>
      <c r="AB200" s="61">
        <v>151908</v>
      </c>
      <c r="AC200" s="61">
        <v>178266</v>
      </c>
      <c r="AD200" s="61">
        <v>140373</v>
      </c>
      <c r="AE200" s="735">
        <v>48633</v>
      </c>
      <c r="AF200" s="60">
        <v>1251</v>
      </c>
      <c r="AG200" s="61"/>
      <c r="AH200" s="61">
        <f t="shared" si="1"/>
        <v>671940</v>
      </c>
    </row>
    <row r="201" spans="2:34" x14ac:dyDescent="0.25">
      <c r="B201" s="793" t="s">
        <v>1085</v>
      </c>
      <c r="L201" s="5"/>
      <c r="M201" s="5"/>
      <c r="N201" s="5"/>
      <c r="O201" s="5"/>
      <c r="P201" s="5"/>
      <c r="Q201" s="5"/>
      <c r="R201" s="5"/>
      <c r="S201" s="153"/>
      <c r="U201" s="7"/>
      <c r="Y201" s="153"/>
      <c r="Z201" s="61">
        <v>80205</v>
      </c>
      <c r="AA201" s="61">
        <v>647358</v>
      </c>
      <c r="AB201" s="61">
        <v>820890</v>
      </c>
      <c r="AC201" s="61">
        <v>1194105</v>
      </c>
      <c r="AD201" s="61">
        <v>784065</v>
      </c>
      <c r="AE201" s="735">
        <v>389706</v>
      </c>
      <c r="AF201" s="60">
        <v>13905</v>
      </c>
      <c r="AG201" s="61"/>
      <c r="AH201" s="61">
        <f t="shared" si="1"/>
        <v>3930234</v>
      </c>
    </row>
    <row r="202" spans="2:34" ht="24.75" customHeight="1" x14ac:dyDescent="0.25">
      <c r="B202" s="3"/>
      <c r="L202" s="5"/>
      <c r="M202" s="5"/>
      <c r="N202" s="5"/>
      <c r="O202" s="5"/>
      <c r="P202" s="5"/>
      <c r="Q202" s="5"/>
      <c r="R202" s="5"/>
    </row>
    <row r="203" spans="2:34" ht="24.75" customHeight="1" x14ac:dyDescent="0.25">
      <c r="L203" s="5"/>
      <c r="M203" s="5"/>
      <c r="N203" s="5"/>
      <c r="O203" s="5"/>
      <c r="P203" s="5"/>
      <c r="Q203" s="5"/>
      <c r="R203" s="5"/>
      <c r="Z203" s="57"/>
    </row>
    <row r="204" spans="2:34" ht="24.75" customHeight="1" x14ac:dyDescent="0.25">
      <c r="L204" s="5"/>
      <c r="M204" s="5"/>
      <c r="N204" s="5"/>
      <c r="O204" s="5"/>
      <c r="P204" s="5"/>
      <c r="Q204" s="5"/>
      <c r="R204" s="5"/>
    </row>
    <row r="205" spans="2:34" ht="24.75" customHeight="1" x14ac:dyDescent="0.25">
      <c r="L205" s="5"/>
      <c r="M205" s="5"/>
      <c r="N205" s="5"/>
      <c r="O205" s="5"/>
      <c r="P205" s="5"/>
      <c r="Q205" s="5"/>
      <c r="R205" s="5"/>
    </row>
    <row r="206" spans="2:34" ht="24.75" customHeight="1" x14ac:dyDescent="0.25">
      <c r="L206" s="5"/>
      <c r="M206" s="5"/>
      <c r="N206" s="5"/>
      <c r="O206" s="5"/>
      <c r="P206" s="5"/>
      <c r="Q206" s="5"/>
      <c r="R206" s="5"/>
    </row>
    <row r="207" spans="2:34" ht="36.75" customHeight="1" x14ac:dyDescent="0.25">
      <c r="L207" s="59"/>
      <c r="M207" s="59"/>
      <c r="N207" s="59"/>
      <c r="O207" s="59"/>
      <c r="P207" s="59"/>
      <c r="Q207" s="59"/>
      <c r="R207" s="59"/>
    </row>
    <row r="208" spans="2:34" ht="24" customHeight="1" x14ac:dyDescent="0.25">
      <c r="L208" s="60"/>
      <c r="M208" s="60"/>
      <c r="N208" s="60"/>
      <c r="O208" s="60"/>
      <c r="P208" s="60"/>
      <c r="Q208" s="60"/>
      <c r="R208" s="60"/>
    </row>
    <row r="209" spans="3:18" ht="21.75" customHeight="1" x14ac:dyDescent="0.25">
      <c r="C209" s="61"/>
      <c r="D209" s="61"/>
      <c r="E209" s="61"/>
      <c r="F209" s="61"/>
      <c r="G209" s="61"/>
      <c r="H209" s="61"/>
      <c r="I209" s="61"/>
      <c r="J209" s="61"/>
      <c r="K209" s="61"/>
      <c r="L209" s="61"/>
      <c r="M209" s="61"/>
      <c r="N209" s="61"/>
      <c r="O209" s="61"/>
      <c r="P209" s="61"/>
      <c r="Q209" s="61"/>
      <c r="R209" s="61"/>
    </row>
    <row r="210" spans="3:18" x14ac:dyDescent="0.25">
      <c r="L210" s="5"/>
      <c r="M210" s="5"/>
      <c r="N210" s="5"/>
      <c r="O210" s="5"/>
      <c r="P210" s="5"/>
      <c r="Q210" s="5"/>
      <c r="R210" s="5"/>
    </row>
    <row r="211" spans="3:18" x14ac:dyDescent="0.25">
      <c r="C211" s="5"/>
      <c r="D211" s="5"/>
      <c r="E211" s="5"/>
      <c r="F211" s="5"/>
      <c r="G211" s="5"/>
      <c r="H211" s="5"/>
      <c r="I211" s="5"/>
      <c r="J211" s="5"/>
      <c r="K211" s="5"/>
      <c r="L211" s="5"/>
      <c r="M211" s="5"/>
      <c r="N211" s="5"/>
      <c r="O211" s="5"/>
      <c r="P211" s="5"/>
      <c r="Q211" s="5"/>
      <c r="R211" s="5"/>
    </row>
    <row r="212" spans="3:18" x14ac:dyDescent="0.25">
      <c r="C212" s="4"/>
      <c r="D212" s="4"/>
      <c r="E212" s="4"/>
      <c r="F212" s="4"/>
      <c r="G212" s="4"/>
      <c r="H212" s="4"/>
      <c r="I212" s="4"/>
      <c r="J212" s="4"/>
      <c r="K212" s="4"/>
      <c r="L212" s="4"/>
      <c r="M212" s="4"/>
      <c r="N212" s="4"/>
      <c r="O212" s="4"/>
      <c r="P212" s="4"/>
      <c r="Q212" s="4"/>
      <c r="R212" s="4"/>
    </row>
    <row r="213" spans="3:18" x14ac:dyDescent="0.25">
      <c r="C213" s="4"/>
      <c r="D213" s="4"/>
      <c r="E213" s="4"/>
      <c r="F213" s="4"/>
      <c r="G213" s="4"/>
      <c r="H213" s="4"/>
      <c r="I213" s="4"/>
      <c r="J213" s="4"/>
      <c r="K213" s="4"/>
      <c r="L213" s="4"/>
      <c r="M213" s="4"/>
      <c r="N213" s="4"/>
      <c r="O213" s="4"/>
      <c r="P213" s="4"/>
      <c r="Q213" s="4"/>
      <c r="R213" s="4"/>
    </row>
    <row r="214" spans="3:18" x14ac:dyDescent="0.25">
      <c r="C214" s="3"/>
      <c r="D214" s="3"/>
      <c r="E214" s="3"/>
      <c r="F214" s="3"/>
      <c r="G214" s="3"/>
      <c r="H214" s="3"/>
      <c r="I214" s="3"/>
      <c r="J214" s="3"/>
      <c r="K214" s="3"/>
      <c r="L214" s="3"/>
      <c r="M214" s="3"/>
      <c r="N214" s="3"/>
      <c r="O214" s="3"/>
      <c r="P214" s="3"/>
      <c r="Q214" s="3"/>
      <c r="R214" s="3"/>
    </row>
    <row r="215" spans="3:18" x14ac:dyDescent="0.25">
      <c r="C215" s="3"/>
      <c r="D215" s="3"/>
      <c r="E215" s="3"/>
      <c r="F215" s="3"/>
      <c r="G215" s="3"/>
      <c r="H215" s="3"/>
      <c r="I215" s="3"/>
      <c r="J215" s="3"/>
      <c r="K215" s="3"/>
      <c r="L215" s="3"/>
      <c r="M215" s="3"/>
      <c r="N215" s="3"/>
      <c r="O215" s="3"/>
      <c r="P215" s="3"/>
      <c r="Q215" s="3"/>
      <c r="R215" s="3"/>
    </row>
    <row r="216" spans="3:18" x14ac:dyDescent="0.25">
      <c r="C216" s="3"/>
      <c r="D216" s="3"/>
      <c r="E216" s="3"/>
      <c r="F216" s="3"/>
      <c r="G216" s="3"/>
      <c r="H216" s="3"/>
      <c r="I216" s="3"/>
      <c r="J216" s="3"/>
      <c r="K216" s="3"/>
      <c r="L216" s="3"/>
      <c r="M216" s="3"/>
      <c r="N216" s="3"/>
      <c r="O216" s="3"/>
      <c r="P216" s="3"/>
      <c r="Q216" s="3"/>
      <c r="R216" s="3"/>
    </row>
    <row r="217" spans="3:18" x14ac:dyDescent="0.25">
      <c r="C217" s="3"/>
      <c r="D217" s="3"/>
      <c r="E217" s="3"/>
      <c r="F217" s="3"/>
      <c r="G217" s="3"/>
      <c r="H217" s="3"/>
      <c r="I217" s="3"/>
      <c r="J217" s="3"/>
      <c r="K217" s="3"/>
      <c r="L217" s="3"/>
      <c r="M217" s="3"/>
      <c r="N217" s="3"/>
      <c r="O217" s="3"/>
      <c r="P217" s="3"/>
      <c r="Q217" s="3"/>
      <c r="R217" s="3"/>
    </row>
  </sheetData>
  <mergeCells count="47">
    <mergeCell ref="AF17:AG17"/>
    <mergeCell ref="AB29:AC29"/>
    <mergeCell ref="AD29:AE29"/>
    <mergeCell ref="AF29:AG29"/>
    <mergeCell ref="Z17:AA17"/>
    <mergeCell ref="Z29:AA29"/>
    <mergeCell ref="AB17:AC17"/>
    <mergeCell ref="AD17:AE17"/>
    <mergeCell ref="AX112:AZ112"/>
    <mergeCell ref="AO112:AQ112"/>
    <mergeCell ref="AR112:AT112"/>
    <mergeCell ref="AU112:AW112"/>
    <mergeCell ref="Z112:AB112"/>
    <mergeCell ref="AC112:AE112"/>
    <mergeCell ref="AF112:AH112"/>
    <mergeCell ref="AI112:AK112"/>
    <mergeCell ref="AL112:AN112"/>
    <mergeCell ref="Z139:AA139"/>
    <mergeCell ref="AB131:AC131"/>
    <mergeCell ref="AB132:AC132"/>
    <mergeCell ref="AB133:AC133"/>
    <mergeCell ref="AB134:AC134"/>
    <mergeCell ref="Z134:AA134"/>
    <mergeCell ref="Z135:AA135"/>
    <mergeCell ref="Z136:AA136"/>
    <mergeCell ref="Z138:AA138"/>
    <mergeCell ref="Z137:AA137"/>
    <mergeCell ref="AB135:AC135"/>
    <mergeCell ref="AB136:AC136"/>
    <mergeCell ref="AB137:AC137"/>
    <mergeCell ref="AB138:AC138"/>
    <mergeCell ref="AB139:AC139"/>
    <mergeCell ref="Z130:AA130"/>
    <mergeCell ref="AB130:AC130"/>
    <mergeCell ref="Z131:AA131"/>
    <mergeCell ref="Z132:AA132"/>
    <mergeCell ref="Z133:AA133"/>
    <mergeCell ref="Z158:AF158"/>
    <mergeCell ref="AR171:AT171"/>
    <mergeCell ref="AU171:AW171"/>
    <mergeCell ref="AX171:AZ171"/>
    <mergeCell ref="AC171:AE171"/>
    <mergeCell ref="AF171:AH171"/>
    <mergeCell ref="AI171:AK171"/>
    <mergeCell ref="AL171:AN171"/>
    <mergeCell ref="AO171:AQ171"/>
    <mergeCell ref="Z171:AB17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8"/>
  <sheetViews>
    <sheetView tabSelected="1" zoomScale="80" zoomScaleNormal="80" zoomScalePageLayoutView="10" workbookViewId="0">
      <pane xSplit="2" ySplit="10" topLeftCell="C221" activePane="bottomRight" state="frozen"/>
      <selection pane="topRight" activeCell="C1" sqref="C1"/>
      <selection pane="bottomLeft" activeCell="A11" sqref="A11"/>
      <selection pane="bottomRight" activeCell="C237" sqref="C237"/>
    </sheetView>
  </sheetViews>
  <sheetFormatPr defaultRowHeight="15" outlineLevelCol="1" x14ac:dyDescent="0.25"/>
  <cols>
    <col min="1" max="1" width="3" style="3" bestFit="1" customWidth="1"/>
    <col min="2" max="2" width="50.85546875" style="1" bestFit="1" customWidth="1"/>
    <col min="3" max="3" width="49" style="1" customWidth="1"/>
    <col min="4" max="5" width="12.42578125" style="1" customWidth="1" outlineLevel="1"/>
    <col min="6" max="6" width="11.28515625" style="1" customWidth="1" outlineLevel="1"/>
    <col min="7" max="7" width="11.140625" style="1" customWidth="1" outlineLevel="1"/>
    <col min="8" max="8" width="10.7109375" style="1" customWidth="1" outlineLevel="1"/>
    <col min="9" max="9" width="32.7109375" style="1" customWidth="1"/>
    <col min="10" max="10" width="33" style="1" customWidth="1" outlineLevel="1"/>
    <col min="11" max="11" width="18.5703125" style="1" customWidth="1"/>
    <col min="12" max="12" width="18.7109375" style="1" customWidth="1" outlineLevel="1"/>
    <col min="13" max="13" width="15.7109375" style="1" customWidth="1" outlineLevel="1"/>
    <col min="14" max="14" width="18.140625" style="1" customWidth="1" outlineLevel="1"/>
    <col min="15" max="15" width="19.85546875" style="1" customWidth="1" outlineLevel="1"/>
    <col min="16" max="16" width="33.140625" style="1" customWidth="1" outlineLevel="1"/>
    <col min="17" max="17" width="30.28515625" style="1" customWidth="1"/>
    <col min="18" max="18" width="26.7109375" style="1" customWidth="1"/>
    <col min="19" max="19" width="65.42578125" style="1" customWidth="1"/>
    <col min="20" max="20" width="11" style="3" customWidth="1" outlineLevel="1"/>
    <col min="21" max="25" width="9.7109375" style="3" customWidth="1"/>
    <col min="26" max="26" width="23.28515625" style="3" customWidth="1"/>
    <col min="27" max="27" width="33.28515625" style="1" customWidth="1"/>
    <col min="28" max="28" width="34.42578125" style="1" customWidth="1"/>
    <col min="29" max="29" width="41.28515625" style="1" customWidth="1"/>
    <col min="30" max="30" width="34.85546875" style="1" customWidth="1"/>
    <col min="31" max="31" width="24.42578125" style="1" customWidth="1"/>
    <col min="32" max="32" width="28.7109375" style="1" customWidth="1"/>
    <col min="33" max="33" width="16.5703125" style="1" bestFit="1" customWidth="1"/>
    <col min="34" max="34" width="19.42578125" style="1" customWidth="1"/>
    <col min="35" max="35" width="14.42578125" style="1" customWidth="1"/>
    <col min="36" max="66" width="11.42578125" style="1" customWidth="1"/>
    <col min="67" max="16384" width="9.140625" style="1"/>
  </cols>
  <sheetData>
    <row r="1" spans="1:67" ht="8.2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7"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1:67" ht="8.2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7" ht="0.75" customHeight="1" x14ac:dyDescent="0.3">
      <c r="A4" s="2"/>
      <c r="B4" s="116" t="s">
        <v>0</v>
      </c>
      <c r="C4" s="117"/>
      <c r="D4" s="117"/>
      <c r="E4" s="117"/>
      <c r="F4" s="117"/>
      <c r="G4" s="117"/>
      <c r="H4" s="117"/>
      <c r="I4" s="117"/>
      <c r="J4" s="117"/>
      <c r="K4" s="117"/>
      <c r="L4" s="117"/>
      <c r="M4" s="117"/>
      <c r="N4" s="117"/>
      <c r="O4" s="117"/>
      <c r="P4" s="117"/>
      <c r="Q4" s="117"/>
      <c r="R4" s="117"/>
      <c r="S4" s="117"/>
      <c r="T4" s="117"/>
      <c r="U4" s="134"/>
      <c r="V4" s="134"/>
      <c r="W4" s="134"/>
      <c r="X4" s="134"/>
      <c r="Y4" s="134"/>
      <c r="Z4" s="134"/>
      <c r="AA4" s="134"/>
      <c r="AB4" s="134"/>
      <c r="AC4" s="266"/>
      <c r="AD4" s="134"/>
      <c r="AE4" s="134"/>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134"/>
      <c r="BF4" s="134"/>
      <c r="BG4" s="134"/>
      <c r="BH4" s="134"/>
      <c r="BI4" s="134"/>
      <c r="BJ4" s="134"/>
      <c r="BK4" s="134"/>
      <c r="BL4" s="134"/>
      <c r="BM4" s="134"/>
      <c r="BN4" s="134"/>
    </row>
    <row r="5" spans="1:67" hidden="1" x14ac:dyDescent="0.25">
      <c r="A5" s="2"/>
      <c r="B5" s="133" t="s">
        <v>255</v>
      </c>
      <c r="C5" s="117"/>
      <c r="D5" s="117"/>
      <c r="E5" s="117"/>
      <c r="F5" s="117"/>
      <c r="G5" s="117"/>
      <c r="H5" s="117"/>
      <c r="I5" s="117"/>
      <c r="J5" s="117"/>
      <c r="K5" s="117"/>
      <c r="L5" s="117"/>
      <c r="M5" s="117"/>
      <c r="N5" s="117"/>
      <c r="O5" s="117"/>
      <c r="P5" s="117"/>
      <c r="Q5" s="117"/>
      <c r="R5" s="117"/>
      <c r="S5" s="117"/>
      <c r="T5" s="117"/>
      <c r="U5" s="134"/>
      <c r="V5" s="134"/>
      <c r="W5" s="134"/>
      <c r="X5" s="134"/>
      <c r="Y5" s="134"/>
      <c r="Z5" s="134"/>
      <c r="AA5" s="134"/>
      <c r="AB5" s="134"/>
      <c r="AC5" s="134"/>
      <c r="AD5" s="134"/>
      <c r="AE5" s="134"/>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134"/>
      <c r="BF5" s="134"/>
      <c r="BG5" s="134"/>
      <c r="BH5" s="134"/>
      <c r="BI5" s="134"/>
      <c r="BJ5" s="134"/>
      <c r="BK5" s="134"/>
      <c r="BL5" s="134"/>
      <c r="BM5" s="134"/>
      <c r="BN5" s="134"/>
    </row>
    <row r="6" spans="1:67" ht="8.25" hidden="1"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row>
    <row r="7" spans="1:67" ht="8.25" hidden="1" customHeight="1" x14ac:dyDescent="0.25">
      <c r="A7" s="2"/>
      <c r="B7" s="2"/>
      <c r="C7" s="2"/>
      <c r="D7" s="2"/>
      <c r="E7" s="2"/>
      <c r="F7" s="2"/>
      <c r="G7" s="2"/>
      <c r="H7" s="2"/>
      <c r="I7" s="2"/>
      <c r="J7" s="2"/>
      <c r="K7" s="2"/>
      <c r="L7" s="2"/>
      <c r="M7" s="2"/>
      <c r="N7" s="2"/>
      <c r="O7" s="2"/>
      <c r="P7" s="2"/>
      <c r="Q7" s="2"/>
      <c r="R7" s="2"/>
      <c r="S7" s="2"/>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row>
    <row r="8" spans="1:67" s="194" customFormat="1" x14ac:dyDescent="0.25">
      <c r="A8" s="192"/>
      <c r="B8" s="192"/>
      <c r="C8" s="192"/>
      <c r="D8" s="192"/>
      <c r="E8" s="192"/>
      <c r="F8" s="192"/>
      <c r="G8" s="192"/>
      <c r="H8" s="192"/>
      <c r="I8" s="192"/>
      <c r="J8" s="192"/>
      <c r="K8" s="192"/>
      <c r="L8" s="192"/>
      <c r="M8" s="192"/>
      <c r="N8" s="192"/>
      <c r="O8" s="192"/>
      <c r="P8" s="192"/>
      <c r="Q8" s="192"/>
      <c r="R8" s="192"/>
      <c r="S8" s="192"/>
      <c r="T8" s="83" t="s">
        <v>793</v>
      </c>
      <c r="U8" s="173" t="s">
        <v>783</v>
      </c>
      <c r="V8" s="174"/>
      <c r="W8" s="174"/>
      <c r="X8" s="174"/>
      <c r="Y8" s="174"/>
      <c r="Z8" s="175"/>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2"/>
      <c r="BJ8" s="82"/>
      <c r="BK8" s="82"/>
      <c r="BL8" s="82"/>
      <c r="BM8" s="82"/>
      <c r="BN8" s="82"/>
    </row>
    <row r="9" spans="1:67" s="194" customFormat="1" x14ac:dyDescent="0.25">
      <c r="A9" s="75"/>
      <c r="B9" s="75"/>
      <c r="C9" s="75"/>
      <c r="D9" s="75"/>
      <c r="E9" s="75"/>
      <c r="F9" s="75"/>
      <c r="G9" s="75"/>
      <c r="H9" s="75"/>
      <c r="I9" s="75"/>
      <c r="J9" s="75"/>
      <c r="K9" s="75"/>
      <c r="L9" s="75"/>
      <c r="M9" s="75"/>
      <c r="N9" s="75"/>
      <c r="O9" s="75"/>
      <c r="P9" s="75"/>
      <c r="Q9" s="75"/>
      <c r="R9" s="75"/>
      <c r="S9" s="75"/>
      <c r="T9" s="75"/>
      <c r="U9" s="176" t="s">
        <v>784</v>
      </c>
      <c r="V9" s="172"/>
      <c r="W9" s="172"/>
      <c r="X9" s="179" t="s">
        <v>785</v>
      </c>
      <c r="Y9" s="172"/>
      <c r="Z9" s="177"/>
      <c r="AA9" s="865" t="s">
        <v>3</v>
      </c>
      <c r="AB9" s="865"/>
      <c r="AC9" s="865"/>
      <c r="AD9" s="865"/>
      <c r="AE9" s="865" t="s">
        <v>4</v>
      </c>
      <c r="AF9" s="865"/>
      <c r="AG9" s="865"/>
      <c r="AH9" s="865"/>
      <c r="AI9" s="865" t="s">
        <v>5</v>
      </c>
      <c r="AJ9" s="865"/>
      <c r="AK9" s="865"/>
      <c r="AL9" s="865"/>
      <c r="AM9" s="865" t="s">
        <v>798</v>
      </c>
      <c r="AN9" s="865"/>
      <c r="AO9" s="865"/>
      <c r="AP9" s="865"/>
      <c r="AQ9" s="865" t="s">
        <v>252</v>
      </c>
      <c r="AR9" s="865"/>
      <c r="AS9" s="865"/>
      <c r="AT9" s="865"/>
      <c r="AU9" s="865" t="s">
        <v>6</v>
      </c>
      <c r="AV9" s="865"/>
      <c r="AW9" s="865"/>
      <c r="AX9" s="865"/>
      <c r="AY9" s="865" t="s">
        <v>8</v>
      </c>
      <c r="AZ9" s="865"/>
      <c r="BA9" s="865"/>
      <c r="BB9" s="865"/>
      <c r="BC9" s="865" t="s">
        <v>7</v>
      </c>
      <c r="BD9" s="865"/>
      <c r="BE9" s="865"/>
      <c r="BF9" s="865"/>
      <c r="BG9" s="75"/>
      <c r="BH9" s="75"/>
      <c r="BI9" s="75"/>
      <c r="BJ9" s="75"/>
      <c r="BK9" s="75"/>
      <c r="BL9" s="75"/>
      <c r="BM9" s="75"/>
      <c r="BN9" s="76"/>
    </row>
    <row r="10" spans="1:67" s="15" customFormat="1" ht="24" x14ac:dyDescent="0.2">
      <c r="A10" s="166"/>
      <c r="B10" s="167"/>
      <c r="C10" s="167" t="s">
        <v>262</v>
      </c>
      <c r="D10" s="167" t="s">
        <v>275</v>
      </c>
      <c r="E10" s="167" t="s">
        <v>263</v>
      </c>
      <c r="F10" s="167" t="s">
        <v>264</v>
      </c>
      <c r="G10" s="167" t="s">
        <v>265</v>
      </c>
      <c r="H10" s="167" t="s">
        <v>443</v>
      </c>
      <c r="I10" s="167" t="s">
        <v>267</v>
      </c>
      <c r="J10" s="167" t="s">
        <v>268</v>
      </c>
      <c r="K10" s="167" t="s">
        <v>269</v>
      </c>
      <c r="L10" s="167" t="s">
        <v>270</v>
      </c>
      <c r="M10" s="167" t="s">
        <v>271</v>
      </c>
      <c r="N10" s="167" t="s">
        <v>444</v>
      </c>
      <c r="O10" s="604" t="s">
        <v>341</v>
      </c>
      <c r="P10" s="167" t="s">
        <v>272</v>
      </c>
      <c r="Q10" s="84" t="s">
        <v>273</v>
      </c>
      <c r="R10" s="84" t="s">
        <v>274</v>
      </c>
      <c r="S10" s="84" t="s">
        <v>275</v>
      </c>
      <c r="T10" s="188"/>
      <c r="U10" s="209" t="s">
        <v>795</v>
      </c>
      <c r="V10" s="84" t="s">
        <v>789</v>
      </c>
      <c r="W10" s="84" t="s">
        <v>790</v>
      </c>
      <c r="X10" s="180" t="s">
        <v>791</v>
      </c>
      <c r="Y10" s="84" t="s">
        <v>789</v>
      </c>
      <c r="Z10" s="178" t="s">
        <v>786</v>
      </c>
      <c r="AA10" s="720">
        <v>2009</v>
      </c>
      <c r="AB10" s="721">
        <v>2010</v>
      </c>
      <c r="AC10" s="721">
        <v>2012</v>
      </c>
      <c r="AD10" s="722">
        <v>2013</v>
      </c>
      <c r="AE10" s="721">
        <v>2009</v>
      </c>
      <c r="AF10" s="721">
        <v>2010</v>
      </c>
      <c r="AG10" s="721">
        <v>2012</v>
      </c>
      <c r="AH10" s="722">
        <v>2013</v>
      </c>
      <c r="AI10" s="721">
        <v>2009</v>
      </c>
      <c r="AJ10" s="721">
        <v>2010</v>
      </c>
      <c r="AK10" s="721">
        <v>2012</v>
      </c>
      <c r="AL10" s="722">
        <v>2013</v>
      </c>
      <c r="AM10" s="721">
        <v>2009</v>
      </c>
      <c r="AN10" s="721">
        <v>2010</v>
      </c>
      <c r="AO10" s="721">
        <v>2012</v>
      </c>
      <c r="AP10" s="722">
        <v>2013</v>
      </c>
      <c r="AQ10" s="721">
        <v>2009</v>
      </c>
      <c r="AR10" s="721">
        <v>2010</v>
      </c>
      <c r="AS10" s="721">
        <v>2012</v>
      </c>
      <c r="AT10" s="722">
        <v>2013</v>
      </c>
      <c r="AU10" s="721">
        <v>2009</v>
      </c>
      <c r="AV10" s="721">
        <v>2010</v>
      </c>
      <c r="AW10" s="721">
        <v>2012</v>
      </c>
      <c r="AX10" s="722">
        <v>2013</v>
      </c>
      <c r="AY10" s="721">
        <v>2009</v>
      </c>
      <c r="AZ10" s="721">
        <v>2010</v>
      </c>
      <c r="BA10" s="721">
        <v>2012</v>
      </c>
      <c r="BB10" s="722">
        <v>2013</v>
      </c>
      <c r="BC10" s="721">
        <v>2009</v>
      </c>
      <c r="BD10" s="721">
        <v>2010</v>
      </c>
      <c r="BE10" s="721">
        <v>2012</v>
      </c>
      <c r="BF10" s="722">
        <v>2013</v>
      </c>
      <c r="BG10" s="168"/>
      <c r="BH10" s="168"/>
      <c r="BI10" s="168"/>
      <c r="BJ10" s="168"/>
      <c r="BK10" s="168"/>
      <c r="BL10" s="168"/>
      <c r="BM10" s="168"/>
      <c r="BN10" s="208"/>
      <c r="BO10" s="3"/>
    </row>
    <row r="11" spans="1:67" s="3" customFormat="1" ht="15.75" x14ac:dyDescent="0.2">
      <c r="A11" s="151">
        <v>1</v>
      </c>
      <c r="B11" s="240" t="s">
        <v>161</v>
      </c>
      <c r="C11" s="195" t="s">
        <v>659</v>
      </c>
      <c r="D11" s="241"/>
      <c r="E11" s="241" t="s">
        <v>660</v>
      </c>
      <c r="F11" s="241" t="s">
        <v>661</v>
      </c>
      <c r="G11" s="241"/>
      <c r="H11" s="241" t="s">
        <v>384</v>
      </c>
      <c r="I11" s="195" t="s">
        <v>331</v>
      </c>
      <c r="J11" s="195" t="s">
        <v>332</v>
      </c>
      <c r="K11" s="195" t="s">
        <v>333</v>
      </c>
      <c r="L11" s="241" t="s">
        <v>334</v>
      </c>
      <c r="M11" s="241"/>
      <c r="N11" s="241" t="s">
        <v>285</v>
      </c>
      <c r="O11" s="241" t="s">
        <v>286</v>
      </c>
      <c r="P11" s="241"/>
      <c r="Q11" s="195" t="s">
        <v>350</v>
      </c>
      <c r="R11" s="195"/>
      <c r="S11" s="195" t="s">
        <v>964</v>
      </c>
      <c r="T11" s="189" t="s">
        <v>794</v>
      </c>
      <c r="U11" s="213" t="s">
        <v>794</v>
      </c>
      <c r="V11" s="189"/>
      <c r="W11" s="189"/>
      <c r="X11" s="214"/>
      <c r="Y11" s="189"/>
      <c r="Z11" s="781"/>
      <c r="AA11" s="232">
        <v>40</v>
      </c>
      <c r="AB11" s="232">
        <v>546</v>
      </c>
      <c r="AC11" s="233">
        <v>5</v>
      </c>
      <c r="AD11" s="233">
        <v>1</v>
      </c>
      <c r="AE11" s="234">
        <v>66</v>
      </c>
      <c r="AF11" s="232">
        <v>69</v>
      </c>
      <c r="AG11" s="233">
        <v>1</v>
      </c>
      <c r="AH11" s="235">
        <v>16</v>
      </c>
      <c r="AI11" s="232">
        <v>75</v>
      </c>
      <c r="AJ11" s="232">
        <v>24</v>
      </c>
      <c r="AK11" s="233">
        <v>0</v>
      </c>
      <c r="AL11" s="233">
        <v>0</v>
      </c>
      <c r="AM11" s="234">
        <v>0</v>
      </c>
      <c r="AN11" s="232">
        <v>0</v>
      </c>
      <c r="AO11" s="232">
        <v>0</v>
      </c>
      <c r="AP11" s="236">
        <v>0</v>
      </c>
      <c r="AQ11" s="232">
        <v>89</v>
      </c>
      <c r="AR11" s="232">
        <v>81</v>
      </c>
      <c r="AS11" s="233">
        <v>34</v>
      </c>
      <c r="AT11" s="233">
        <v>98</v>
      </c>
      <c r="AU11" s="237">
        <v>3</v>
      </c>
      <c r="AV11" s="233">
        <v>0</v>
      </c>
      <c r="AW11" s="233">
        <v>0</v>
      </c>
      <c r="AX11" s="235">
        <v>0</v>
      </c>
      <c r="AY11" s="238">
        <v>0</v>
      </c>
      <c r="AZ11" s="238">
        <v>0</v>
      </c>
      <c r="BA11" s="238">
        <v>3</v>
      </c>
      <c r="BB11" s="238">
        <v>3</v>
      </c>
      <c r="BC11" s="234">
        <v>20</v>
      </c>
      <c r="BD11" s="232">
        <v>18</v>
      </c>
      <c r="BE11" s="233">
        <v>3</v>
      </c>
      <c r="BF11" s="235">
        <v>0</v>
      </c>
      <c r="BG11" s="7"/>
      <c r="BH11" s="7"/>
      <c r="BI11" s="7"/>
      <c r="BJ11" s="7"/>
      <c r="BK11" s="7"/>
      <c r="BL11" s="7"/>
      <c r="BM11" s="7"/>
      <c r="BN11" s="31"/>
    </row>
    <row r="12" spans="1:67" s="3" customFormat="1" ht="15.75" x14ac:dyDescent="0.2">
      <c r="A12" s="94">
        <v>2</v>
      </c>
      <c r="B12" s="146" t="s">
        <v>162</v>
      </c>
      <c r="C12" s="146" t="s">
        <v>662</v>
      </c>
      <c r="D12" s="142" t="s">
        <v>663</v>
      </c>
      <c r="E12" s="142" t="s">
        <v>660</v>
      </c>
      <c r="F12" s="142" t="s">
        <v>661</v>
      </c>
      <c r="G12" s="142"/>
      <c r="H12" s="142" t="s">
        <v>279</v>
      </c>
      <c r="I12" s="146" t="s">
        <v>331</v>
      </c>
      <c r="J12" s="146" t="s">
        <v>332</v>
      </c>
      <c r="K12" s="146" t="s">
        <v>333</v>
      </c>
      <c r="L12" s="142" t="s">
        <v>334</v>
      </c>
      <c r="M12" s="142"/>
      <c r="N12" s="142" t="s">
        <v>285</v>
      </c>
      <c r="O12" s="142" t="s">
        <v>286</v>
      </c>
      <c r="P12" s="142"/>
      <c r="Q12" s="146" t="s">
        <v>350</v>
      </c>
      <c r="R12" s="146"/>
      <c r="S12" s="195" t="s">
        <v>964</v>
      </c>
      <c r="T12" s="189" t="s">
        <v>794</v>
      </c>
      <c r="U12" s="213" t="s">
        <v>794</v>
      </c>
      <c r="V12" s="189"/>
      <c r="W12" s="189"/>
      <c r="X12" s="214"/>
      <c r="Y12" s="189"/>
      <c r="Z12" s="215"/>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7"/>
      <c r="AZ12" s="7"/>
      <c r="BA12" s="7"/>
      <c r="BB12" s="7"/>
      <c r="BC12" s="7"/>
      <c r="BD12" s="7"/>
      <c r="BE12" s="7"/>
      <c r="BF12" s="7"/>
      <c r="BG12" s="7"/>
      <c r="BH12" s="7"/>
      <c r="BI12" s="7"/>
      <c r="BJ12" s="7"/>
      <c r="BK12" s="7"/>
      <c r="BL12" s="7"/>
      <c r="BM12" s="7"/>
      <c r="BN12" s="31"/>
    </row>
    <row r="13" spans="1:67" s="3" customFormat="1" ht="15.75" x14ac:dyDescent="0.2">
      <c r="A13" s="94"/>
      <c r="B13" s="279" t="s">
        <v>803</v>
      </c>
      <c r="C13" s="279"/>
      <c r="D13" s="280"/>
      <c r="E13" s="280"/>
      <c r="F13" s="280"/>
      <c r="G13" s="280"/>
      <c r="H13" s="280"/>
      <c r="I13" s="279"/>
      <c r="J13" s="279"/>
      <c r="K13" s="279"/>
      <c r="L13" s="280"/>
      <c r="M13" s="280"/>
      <c r="N13" s="280"/>
      <c r="O13" s="280"/>
      <c r="P13" s="280"/>
      <c r="Q13" s="279"/>
      <c r="R13" s="279"/>
      <c r="S13" s="279"/>
      <c r="T13" s="281"/>
      <c r="U13" s="282"/>
      <c r="V13" s="281"/>
      <c r="W13" s="281"/>
      <c r="X13" s="283"/>
      <c r="Y13" s="281"/>
      <c r="Z13" s="284"/>
      <c r="AA13" s="277"/>
      <c r="AB13" s="277"/>
      <c r="AC13" s="277">
        <v>83</v>
      </c>
      <c r="AD13" s="277">
        <v>211</v>
      </c>
      <c r="AE13" s="277"/>
      <c r="AF13" s="277"/>
      <c r="AG13" s="277">
        <v>0</v>
      </c>
      <c r="AH13" s="277">
        <v>0</v>
      </c>
      <c r="AI13" s="277"/>
      <c r="AJ13" s="277"/>
      <c r="AK13" s="277">
        <v>182</v>
      </c>
      <c r="AL13" s="277">
        <v>215</v>
      </c>
      <c r="AM13" s="277"/>
      <c r="AN13" s="277"/>
      <c r="AO13" s="277">
        <v>0</v>
      </c>
      <c r="AP13" s="277">
        <v>284</v>
      </c>
      <c r="AQ13" s="277"/>
      <c r="AR13" s="277"/>
      <c r="AS13" s="277">
        <v>214</v>
      </c>
      <c r="AT13" s="277">
        <v>232</v>
      </c>
      <c r="AU13" s="277"/>
      <c r="AV13" s="277"/>
      <c r="AW13" s="285">
        <v>0</v>
      </c>
      <c r="AX13" s="277">
        <v>0</v>
      </c>
      <c r="AY13" s="277"/>
      <c r="AZ13" s="277"/>
      <c r="BA13" s="277">
        <v>77</v>
      </c>
      <c r="BB13" s="277">
        <v>73</v>
      </c>
      <c r="BC13" s="277"/>
      <c r="BD13" s="277"/>
      <c r="BE13" s="277">
        <v>157</v>
      </c>
      <c r="BF13" s="277">
        <v>264</v>
      </c>
      <c r="BG13" s="7"/>
      <c r="BH13" s="7"/>
      <c r="BI13" s="7"/>
      <c r="BJ13" s="7"/>
      <c r="BK13" s="7"/>
      <c r="BL13" s="7"/>
      <c r="BM13" s="7"/>
      <c r="BN13" s="31"/>
    </row>
    <row r="14" spans="1:67" s="3" customFormat="1" ht="15.75" x14ac:dyDescent="0.2">
      <c r="A14" s="94"/>
      <c r="B14" s="279" t="s">
        <v>804</v>
      </c>
      <c r="C14" s="279"/>
      <c r="D14" s="280"/>
      <c r="E14" s="280"/>
      <c r="F14" s="280"/>
      <c r="G14" s="280"/>
      <c r="H14" s="280"/>
      <c r="I14" s="279"/>
      <c r="J14" s="279"/>
      <c r="K14" s="279"/>
      <c r="L14" s="280"/>
      <c r="M14" s="280"/>
      <c r="N14" s="280"/>
      <c r="O14" s="280"/>
      <c r="P14" s="280"/>
      <c r="Q14" s="279"/>
      <c r="R14" s="279"/>
      <c r="S14" s="279"/>
      <c r="T14" s="281"/>
      <c r="U14" s="282"/>
      <c r="V14" s="281"/>
      <c r="W14" s="281"/>
      <c r="X14" s="283"/>
      <c r="Y14" s="281"/>
      <c r="Z14" s="284"/>
      <c r="AA14" s="277"/>
      <c r="AB14" s="277"/>
      <c r="AC14" s="277">
        <v>246</v>
      </c>
      <c r="AD14" s="277">
        <v>147</v>
      </c>
      <c r="AE14" s="277"/>
      <c r="AF14" s="277"/>
      <c r="AG14" s="277">
        <v>116</v>
      </c>
      <c r="AH14" s="277">
        <v>2057</v>
      </c>
      <c r="AI14" s="277"/>
      <c r="AJ14" s="277"/>
      <c r="AK14" s="277">
        <v>407</v>
      </c>
      <c r="AL14" s="277">
        <v>471</v>
      </c>
      <c r="AM14" s="277"/>
      <c r="AN14" s="277"/>
      <c r="AO14" s="277">
        <v>0</v>
      </c>
      <c r="AP14" s="277">
        <v>1127</v>
      </c>
      <c r="AQ14" s="277"/>
      <c r="AR14" s="277"/>
      <c r="AS14" s="277">
        <v>296</v>
      </c>
      <c r="AT14" s="277">
        <v>398</v>
      </c>
      <c r="AU14" s="277"/>
      <c r="AV14" s="277"/>
      <c r="AW14" s="285">
        <v>159</v>
      </c>
      <c r="AX14" s="277">
        <v>0</v>
      </c>
      <c r="AY14" s="277"/>
      <c r="AZ14" s="277"/>
      <c r="BA14" s="277">
        <v>95</v>
      </c>
      <c r="BB14" s="277">
        <v>104</v>
      </c>
      <c r="BC14" s="277"/>
      <c r="BD14" s="277"/>
      <c r="BE14" s="277">
        <v>364</v>
      </c>
      <c r="BF14" s="277">
        <v>423</v>
      </c>
      <c r="BG14" s="7"/>
      <c r="BH14" s="7"/>
      <c r="BI14" s="7"/>
      <c r="BJ14" s="7"/>
      <c r="BK14" s="7"/>
      <c r="BL14" s="7"/>
      <c r="BM14" s="7"/>
      <c r="BN14" s="31"/>
    </row>
    <row r="15" spans="1:67" s="3" customFormat="1" ht="15.75" x14ac:dyDescent="0.2">
      <c r="A15" s="94"/>
      <c r="B15" s="279" t="s">
        <v>805</v>
      </c>
      <c r="C15" s="279"/>
      <c r="D15" s="280"/>
      <c r="E15" s="280"/>
      <c r="F15" s="280"/>
      <c r="G15" s="280"/>
      <c r="H15" s="280"/>
      <c r="I15" s="279"/>
      <c r="J15" s="279"/>
      <c r="K15" s="279"/>
      <c r="L15" s="280"/>
      <c r="M15" s="280"/>
      <c r="N15" s="280"/>
      <c r="O15" s="280"/>
      <c r="P15" s="280"/>
      <c r="Q15" s="279"/>
      <c r="R15" s="279"/>
      <c r="S15" s="279"/>
      <c r="T15" s="281"/>
      <c r="U15" s="282"/>
      <c r="V15" s="281"/>
      <c r="W15" s="281"/>
      <c r="X15" s="283"/>
      <c r="Y15" s="281"/>
      <c r="Z15" s="284"/>
      <c r="AA15" s="277"/>
      <c r="AB15" s="277"/>
      <c r="AC15" s="278">
        <v>1647</v>
      </c>
      <c r="AD15" s="278">
        <v>1932</v>
      </c>
      <c r="AE15" s="277"/>
      <c r="AF15" s="277"/>
      <c r="AG15" s="277">
        <v>121</v>
      </c>
      <c r="AH15" s="277">
        <v>25</v>
      </c>
      <c r="AI15" s="277"/>
      <c r="AJ15" s="277"/>
      <c r="AK15" s="277">
        <v>255</v>
      </c>
      <c r="AL15" s="277">
        <v>241</v>
      </c>
      <c r="AM15" s="277"/>
      <c r="AN15" s="277"/>
      <c r="AO15" s="277">
        <v>0</v>
      </c>
      <c r="AP15" s="277">
        <v>419</v>
      </c>
      <c r="AQ15" s="277"/>
      <c r="AR15" s="277"/>
      <c r="AS15" s="277">
        <v>183</v>
      </c>
      <c r="AT15" s="277">
        <v>194</v>
      </c>
      <c r="AU15" s="277"/>
      <c r="AV15" s="277"/>
      <c r="AW15" s="285">
        <v>146</v>
      </c>
      <c r="AX15" s="277">
        <v>0</v>
      </c>
      <c r="AY15" s="277"/>
      <c r="AZ15" s="277"/>
      <c r="BA15" s="277">
        <v>54</v>
      </c>
      <c r="BB15" s="277">
        <v>53</v>
      </c>
      <c r="BC15" s="277"/>
      <c r="BD15" s="277"/>
      <c r="BE15" s="277">
        <v>202</v>
      </c>
      <c r="BF15" s="277">
        <v>199</v>
      </c>
      <c r="BG15" s="7"/>
      <c r="BH15" s="7"/>
      <c r="BI15" s="7"/>
      <c r="BJ15" s="7"/>
      <c r="BK15" s="7"/>
      <c r="BL15" s="7"/>
      <c r="BM15" s="7"/>
      <c r="BN15" s="31"/>
    </row>
    <row r="16" spans="1:67" s="3" customFormat="1" ht="15.75" x14ac:dyDescent="0.2">
      <c r="A16" s="94"/>
      <c r="B16" s="279" t="s">
        <v>806</v>
      </c>
      <c r="C16" s="279"/>
      <c r="D16" s="280"/>
      <c r="E16" s="280"/>
      <c r="F16" s="280"/>
      <c r="G16" s="280"/>
      <c r="H16" s="280"/>
      <c r="I16" s="279"/>
      <c r="J16" s="279"/>
      <c r="K16" s="279"/>
      <c r="L16" s="280"/>
      <c r="M16" s="280"/>
      <c r="N16" s="280"/>
      <c r="O16" s="280"/>
      <c r="P16" s="280"/>
      <c r="Q16" s="279"/>
      <c r="R16" s="279"/>
      <c r="S16" s="279"/>
      <c r="T16" s="281"/>
      <c r="U16" s="282"/>
      <c r="V16" s="281"/>
      <c r="W16" s="281"/>
      <c r="X16" s="283"/>
      <c r="Y16" s="281"/>
      <c r="Z16" s="284"/>
      <c r="AA16" s="277"/>
      <c r="AB16" s="277"/>
      <c r="AC16" s="277">
        <v>159</v>
      </c>
      <c r="AD16" s="277">
        <v>25</v>
      </c>
      <c r="AE16" s="277"/>
      <c r="AF16" s="277"/>
      <c r="AG16" s="277">
        <v>17</v>
      </c>
      <c r="AH16" s="277">
        <v>27</v>
      </c>
      <c r="AI16" s="277"/>
      <c r="AJ16" s="277"/>
      <c r="AK16" s="277">
        <v>29</v>
      </c>
      <c r="AL16" s="277">
        <v>57</v>
      </c>
      <c r="AM16" s="277"/>
      <c r="AN16" s="277"/>
      <c r="AO16" s="277">
        <v>0</v>
      </c>
      <c r="AP16" s="277">
        <v>4</v>
      </c>
      <c r="AQ16" s="277"/>
      <c r="AR16" s="277"/>
      <c r="AS16" s="277">
        <v>20</v>
      </c>
      <c r="AT16" s="277">
        <v>20</v>
      </c>
      <c r="AU16" s="277"/>
      <c r="AV16" s="277"/>
      <c r="AW16" s="285">
        <v>0</v>
      </c>
      <c r="AX16" s="277">
        <v>0</v>
      </c>
      <c r="AY16" s="277"/>
      <c r="AZ16" s="277"/>
      <c r="BA16" s="277">
        <v>0</v>
      </c>
      <c r="BB16" s="277">
        <v>0</v>
      </c>
      <c r="BC16" s="277"/>
      <c r="BD16" s="277"/>
      <c r="BE16" s="277">
        <v>47</v>
      </c>
      <c r="BF16" s="277">
        <v>45</v>
      </c>
      <c r="BG16" s="7"/>
      <c r="BH16" s="7"/>
      <c r="BI16" s="7"/>
      <c r="BJ16" s="7"/>
      <c r="BK16" s="7"/>
      <c r="BL16" s="7"/>
      <c r="BM16" s="7"/>
      <c r="BN16" s="31"/>
    </row>
    <row r="17" spans="1:66" s="3" customFormat="1" ht="15.75" x14ac:dyDescent="0.2">
      <c r="A17" s="94"/>
      <c r="B17" s="279" t="s">
        <v>807</v>
      </c>
      <c r="C17" s="279"/>
      <c r="D17" s="280"/>
      <c r="E17" s="280"/>
      <c r="F17" s="280"/>
      <c r="G17" s="280"/>
      <c r="H17" s="280"/>
      <c r="I17" s="279"/>
      <c r="J17" s="279"/>
      <c r="K17" s="279"/>
      <c r="L17" s="280"/>
      <c r="M17" s="280"/>
      <c r="N17" s="280"/>
      <c r="O17" s="280"/>
      <c r="P17" s="280"/>
      <c r="Q17" s="279"/>
      <c r="R17" s="279"/>
      <c r="S17" s="279"/>
      <c r="T17" s="281"/>
      <c r="U17" s="282"/>
      <c r="V17" s="281"/>
      <c r="W17" s="281"/>
      <c r="X17" s="283"/>
      <c r="Y17" s="281"/>
      <c r="Z17" s="284"/>
      <c r="AA17" s="277"/>
      <c r="AB17" s="277"/>
      <c r="AC17" s="277">
        <v>42</v>
      </c>
      <c r="AD17" s="277">
        <v>4</v>
      </c>
      <c r="AE17" s="277"/>
      <c r="AF17" s="277"/>
      <c r="AG17" s="277">
        <v>41</v>
      </c>
      <c r="AH17" s="277">
        <v>145</v>
      </c>
      <c r="AI17" s="277"/>
      <c r="AJ17" s="277"/>
      <c r="AK17" s="277">
        <v>77</v>
      </c>
      <c r="AL17" s="277">
        <v>102</v>
      </c>
      <c r="AM17" s="277"/>
      <c r="AN17" s="277"/>
      <c r="AO17" s="277">
        <v>0</v>
      </c>
      <c r="AP17" s="277">
        <v>250</v>
      </c>
      <c r="AQ17" s="277"/>
      <c r="AR17" s="277"/>
      <c r="AS17" s="277">
        <v>86</v>
      </c>
      <c r="AT17" s="277">
        <v>83</v>
      </c>
      <c r="AU17" s="277"/>
      <c r="AV17" s="277"/>
      <c r="AW17" s="285">
        <v>194</v>
      </c>
      <c r="AX17" s="277">
        <v>0</v>
      </c>
      <c r="AY17" s="277"/>
      <c r="AZ17" s="277"/>
      <c r="BA17" s="277">
        <v>8</v>
      </c>
      <c r="BB17" s="277">
        <v>3</v>
      </c>
      <c r="BC17" s="277"/>
      <c r="BD17" s="277"/>
      <c r="BE17" s="277">
        <v>31</v>
      </c>
      <c r="BF17" s="277">
        <v>30</v>
      </c>
      <c r="BG17" s="7"/>
      <c r="BH17" s="7"/>
      <c r="BI17" s="7"/>
      <c r="BJ17" s="7"/>
      <c r="BK17" s="7"/>
      <c r="BL17" s="7"/>
      <c r="BM17" s="7"/>
      <c r="BN17" s="31"/>
    </row>
    <row r="18" spans="1:66" s="3" customFormat="1" ht="15.75" x14ac:dyDescent="0.2">
      <c r="A18" s="94"/>
      <c r="B18" s="279" t="s">
        <v>808</v>
      </c>
      <c r="C18" s="279"/>
      <c r="D18" s="280"/>
      <c r="E18" s="280"/>
      <c r="F18" s="280"/>
      <c r="G18" s="280"/>
      <c r="H18" s="280"/>
      <c r="I18" s="279"/>
      <c r="J18" s="279"/>
      <c r="K18" s="279"/>
      <c r="L18" s="280"/>
      <c r="M18" s="280"/>
      <c r="N18" s="280"/>
      <c r="O18" s="280"/>
      <c r="P18" s="280"/>
      <c r="Q18" s="279"/>
      <c r="R18" s="279"/>
      <c r="S18" s="279"/>
      <c r="T18" s="281"/>
      <c r="U18" s="282"/>
      <c r="V18" s="281"/>
      <c r="W18" s="281"/>
      <c r="X18" s="283"/>
      <c r="Y18" s="281"/>
      <c r="Z18" s="284"/>
      <c r="AA18" s="277"/>
      <c r="AB18" s="277"/>
      <c r="AC18" s="277">
        <v>82</v>
      </c>
      <c r="AD18" s="277">
        <v>1</v>
      </c>
      <c r="AE18" s="277"/>
      <c r="AF18" s="277"/>
      <c r="AG18" s="277">
        <v>94</v>
      </c>
      <c r="AH18" s="277">
        <v>2607</v>
      </c>
      <c r="AI18" s="277"/>
      <c r="AJ18" s="277"/>
      <c r="AK18" s="277">
        <v>208</v>
      </c>
      <c r="AL18" s="277">
        <v>363</v>
      </c>
      <c r="AM18" s="277"/>
      <c r="AN18" s="277"/>
      <c r="AO18" s="277">
        <v>0</v>
      </c>
      <c r="AP18" s="277">
        <v>303</v>
      </c>
      <c r="AQ18" s="277"/>
      <c r="AR18" s="277"/>
      <c r="AS18" s="277">
        <v>428</v>
      </c>
      <c r="AT18" s="277">
        <v>359</v>
      </c>
      <c r="AU18" s="277"/>
      <c r="AV18" s="277"/>
      <c r="AW18" s="285">
        <v>119</v>
      </c>
      <c r="AX18" s="277">
        <v>0</v>
      </c>
      <c r="AY18" s="277"/>
      <c r="AZ18" s="277"/>
      <c r="BA18" s="277">
        <v>37</v>
      </c>
      <c r="BB18" s="277">
        <v>28</v>
      </c>
      <c r="BC18" s="277"/>
      <c r="BD18" s="277"/>
      <c r="BE18" s="277">
        <v>236</v>
      </c>
      <c r="BF18" s="277">
        <v>254</v>
      </c>
      <c r="BG18" s="7"/>
      <c r="BH18" s="7"/>
      <c r="BI18" s="7"/>
      <c r="BJ18" s="7"/>
      <c r="BK18" s="7"/>
      <c r="BL18" s="7"/>
      <c r="BM18" s="7"/>
      <c r="BN18" s="31"/>
    </row>
    <row r="19" spans="1:66" s="3" customFormat="1" ht="15.75" x14ac:dyDescent="0.2">
      <c r="A19" s="94"/>
      <c r="B19" s="279" t="s">
        <v>809</v>
      </c>
      <c r="C19" s="279"/>
      <c r="D19" s="280"/>
      <c r="E19" s="280"/>
      <c r="F19" s="280"/>
      <c r="G19" s="280"/>
      <c r="H19" s="280"/>
      <c r="I19" s="279"/>
      <c r="J19" s="279"/>
      <c r="K19" s="279"/>
      <c r="L19" s="280"/>
      <c r="M19" s="280"/>
      <c r="N19" s="280"/>
      <c r="O19" s="280"/>
      <c r="P19" s="280"/>
      <c r="Q19" s="279"/>
      <c r="R19" s="279"/>
      <c r="S19" s="279"/>
      <c r="T19" s="281"/>
      <c r="U19" s="282"/>
      <c r="V19" s="281"/>
      <c r="W19" s="281"/>
      <c r="X19" s="283"/>
      <c r="Y19" s="281"/>
      <c r="Z19" s="284"/>
      <c r="AA19" s="277"/>
      <c r="AB19" s="277"/>
      <c r="AC19" s="277">
        <v>141</v>
      </c>
      <c r="AD19" s="277">
        <v>648</v>
      </c>
      <c r="AE19" s="277"/>
      <c r="AF19" s="277"/>
      <c r="AG19" s="277">
        <v>89</v>
      </c>
      <c r="AH19" s="277">
        <v>0</v>
      </c>
      <c r="AI19" s="277"/>
      <c r="AJ19" s="277"/>
      <c r="AK19" s="277">
        <v>259</v>
      </c>
      <c r="AL19" s="277">
        <v>212</v>
      </c>
      <c r="AM19" s="277"/>
      <c r="AN19" s="277"/>
      <c r="AO19" s="277">
        <v>0</v>
      </c>
      <c r="AP19" s="277">
        <v>77</v>
      </c>
      <c r="AQ19" s="277"/>
      <c r="AR19" s="277"/>
      <c r="AS19" s="277">
        <v>206</v>
      </c>
      <c r="AT19" s="277">
        <v>253</v>
      </c>
      <c r="AU19" s="277"/>
      <c r="AV19" s="277"/>
      <c r="AW19" s="285">
        <v>0</v>
      </c>
      <c r="AX19" s="277">
        <v>0</v>
      </c>
      <c r="AY19" s="277"/>
      <c r="AZ19" s="277"/>
      <c r="BA19" s="277">
        <v>8</v>
      </c>
      <c r="BB19" s="277">
        <v>8</v>
      </c>
      <c r="BC19" s="277"/>
      <c r="BD19" s="277"/>
      <c r="BE19" s="277">
        <v>158</v>
      </c>
      <c r="BF19" s="277">
        <v>185</v>
      </c>
      <c r="BG19" s="7"/>
      <c r="BH19" s="7"/>
      <c r="BI19" s="7"/>
      <c r="BJ19" s="7"/>
      <c r="BK19" s="7"/>
      <c r="BL19" s="7"/>
      <c r="BM19" s="7"/>
      <c r="BN19" s="31"/>
    </row>
    <row r="20" spans="1:66" s="3" customFormat="1" ht="15.75" x14ac:dyDescent="0.2">
      <c r="A20" s="94"/>
      <c r="B20" s="279" t="s">
        <v>810</v>
      </c>
      <c r="C20" s="279"/>
      <c r="D20" s="280"/>
      <c r="E20" s="280"/>
      <c r="F20" s="280"/>
      <c r="G20" s="280"/>
      <c r="H20" s="280"/>
      <c r="I20" s="279"/>
      <c r="J20" s="279"/>
      <c r="K20" s="279"/>
      <c r="L20" s="280"/>
      <c r="M20" s="280"/>
      <c r="N20" s="280"/>
      <c r="O20" s="280"/>
      <c r="P20" s="280"/>
      <c r="Q20" s="279"/>
      <c r="R20" s="279"/>
      <c r="S20" s="279"/>
      <c r="T20" s="281"/>
      <c r="U20" s="282"/>
      <c r="V20" s="281"/>
      <c r="W20" s="281"/>
      <c r="X20" s="283"/>
      <c r="Y20" s="281"/>
      <c r="Z20" s="284"/>
      <c r="AA20" s="277"/>
      <c r="AB20" s="277"/>
      <c r="AC20" s="277">
        <v>276</v>
      </c>
      <c r="AD20" s="277">
        <v>276</v>
      </c>
      <c r="AE20" s="277"/>
      <c r="AF20" s="277"/>
      <c r="AG20" s="277">
        <v>22</v>
      </c>
      <c r="AH20" s="277">
        <v>6</v>
      </c>
      <c r="AI20" s="277"/>
      <c r="AJ20" s="277"/>
      <c r="AK20" s="277">
        <v>73</v>
      </c>
      <c r="AL20" s="277">
        <v>95</v>
      </c>
      <c r="AM20" s="277"/>
      <c r="AN20" s="277"/>
      <c r="AO20" s="277">
        <v>0</v>
      </c>
      <c r="AP20" s="285">
        <v>0</v>
      </c>
      <c r="AQ20" s="277"/>
      <c r="AR20" s="277"/>
      <c r="AS20" s="277">
        <v>121</v>
      </c>
      <c r="AT20" s="277">
        <v>127</v>
      </c>
      <c r="AU20" s="277"/>
      <c r="AV20" s="277"/>
      <c r="AW20" s="285">
        <v>119</v>
      </c>
      <c r="AX20" s="277">
        <v>0</v>
      </c>
      <c r="AY20" s="277"/>
      <c r="AZ20" s="277"/>
      <c r="BA20" s="277">
        <v>22</v>
      </c>
      <c r="BB20" s="277">
        <v>35</v>
      </c>
      <c r="BC20" s="277"/>
      <c r="BD20" s="277"/>
      <c r="BE20" s="277">
        <v>3</v>
      </c>
      <c r="BF20" s="277">
        <v>3</v>
      </c>
      <c r="BG20" s="7"/>
      <c r="BH20" s="7"/>
      <c r="BI20" s="7"/>
      <c r="BJ20" s="7"/>
      <c r="BK20" s="7"/>
      <c r="BL20" s="7"/>
      <c r="BM20" s="7"/>
      <c r="BN20" s="31"/>
    </row>
    <row r="21" spans="1:66" s="3" customFormat="1" ht="15.75" x14ac:dyDescent="0.2">
      <c r="A21" s="94"/>
      <c r="B21" s="279" t="s">
        <v>811</v>
      </c>
      <c r="C21" s="279"/>
      <c r="D21" s="280"/>
      <c r="E21" s="280"/>
      <c r="F21" s="280"/>
      <c r="G21" s="280"/>
      <c r="H21" s="280"/>
      <c r="I21" s="279"/>
      <c r="J21" s="279"/>
      <c r="K21" s="279"/>
      <c r="L21" s="280"/>
      <c r="M21" s="280"/>
      <c r="N21" s="280"/>
      <c r="O21" s="280"/>
      <c r="P21" s="280"/>
      <c r="Q21" s="279"/>
      <c r="R21" s="279"/>
      <c r="S21" s="279"/>
      <c r="T21" s="281"/>
      <c r="U21" s="282"/>
      <c r="V21" s="281"/>
      <c r="W21" s="281"/>
      <c r="X21" s="283"/>
      <c r="Y21" s="281"/>
      <c r="Z21" s="284"/>
      <c r="AA21" s="277"/>
      <c r="AB21" s="277"/>
      <c r="AC21" s="277">
        <v>2672</v>
      </c>
      <c r="AD21" s="277">
        <v>2965</v>
      </c>
      <c r="AE21" s="277"/>
      <c r="AF21" s="277"/>
      <c r="AG21" s="277">
        <v>159</v>
      </c>
      <c r="AH21" s="277">
        <v>73</v>
      </c>
      <c r="AI21" s="277"/>
      <c r="AJ21" s="277"/>
      <c r="AK21" s="277">
        <v>244</v>
      </c>
      <c r="AL21" s="277">
        <v>281</v>
      </c>
      <c r="AM21" s="277"/>
      <c r="AN21" s="277"/>
      <c r="AO21" s="277">
        <v>0</v>
      </c>
      <c r="AP21" s="277">
        <v>153</v>
      </c>
      <c r="AQ21" s="277"/>
      <c r="AR21" s="277"/>
      <c r="AS21" s="277">
        <v>167</v>
      </c>
      <c r="AT21" s="277">
        <v>175</v>
      </c>
      <c r="AU21" s="277"/>
      <c r="AV21" s="277"/>
      <c r="AW21" s="285">
        <v>0</v>
      </c>
      <c r="AX21" s="277">
        <v>0</v>
      </c>
      <c r="AY21" s="277"/>
      <c r="AZ21" s="277"/>
      <c r="BA21" s="277">
        <v>45</v>
      </c>
      <c r="BB21" s="277">
        <v>71</v>
      </c>
      <c r="BC21" s="277"/>
      <c r="BD21" s="277"/>
      <c r="BE21" s="277">
        <v>58</v>
      </c>
      <c r="BF21" s="277">
        <v>219</v>
      </c>
      <c r="BG21" s="7"/>
      <c r="BH21" s="7"/>
      <c r="BI21" s="7"/>
      <c r="BJ21" s="7"/>
      <c r="BK21" s="7"/>
      <c r="BL21" s="7"/>
      <c r="BM21" s="7"/>
      <c r="BN21" s="31"/>
    </row>
    <row r="22" spans="1:66" s="3" customFormat="1" ht="15.75" x14ac:dyDescent="0.2">
      <c r="A22" s="94"/>
      <c r="B22" s="279" t="s">
        <v>812</v>
      </c>
      <c r="C22" s="279"/>
      <c r="D22" s="280"/>
      <c r="E22" s="280"/>
      <c r="F22" s="280"/>
      <c r="G22" s="280"/>
      <c r="H22" s="280"/>
      <c r="I22" s="279"/>
      <c r="J22" s="279"/>
      <c r="K22" s="279"/>
      <c r="L22" s="280"/>
      <c r="M22" s="280"/>
      <c r="N22" s="280"/>
      <c r="O22" s="280"/>
      <c r="P22" s="280"/>
      <c r="Q22" s="279"/>
      <c r="R22" s="279"/>
      <c r="S22" s="279"/>
      <c r="T22" s="281"/>
      <c r="U22" s="282"/>
      <c r="V22" s="281"/>
      <c r="W22" s="281"/>
      <c r="X22" s="283"/>
      <c r="Y22" s="281"/>
      <c r="Z22" s="284"/>
      <c r="AA22" s="277"/>
      <c r="AB22" s="277"/>
      <c r="AC22" s="277">
        <v>0</v>
      </c>
      <c r="AD22" s="277">
        <v>38</v>
      </c>
      <c r="AE22" s="277"/>
      <c r="AF22" s="277"/>
      <c r="AG22" s="277">
        <v>34</v>
      </c>
      <c r="AH22" s="277">
        <v>0</v>
      </c>
      <c r="AI22" s="277"/>
      <c r="AJ22" s="277"/>
      <c r="AK22" s="277">
        <v>61</v>
      </c>
      <c r="AL22" s="277">
        <v>49</v>
      </c>
      <c r="AM22" s="277"/>
      <c r="AN22" s="277"/>
      <c r="AO22" s="277">
        <v>0</v>
      </c>
      <c r="AP22" s="277">
        <v>264</v>
      </c>
      <c r="AQ22" s="277"/>
      <c r="AR22" s="277"/>
      <c r="AS22" s="277">
        <v>0</v>
      </c>
      <c r="AT22" s="277">
        <v>0</v>
      </c>
      <c r="AU22" s="277"/>
      <c r="AV22" s="277"/>
      <c r="AW22" s="285">
        <v>0</v>
      </c>
      <c r="AX22" s="277">
        <v>0</v>
      </c>
      <c r="AY22" s="277"/>
      <c r="AZ22" s="277"/>
      <c r="BA22" s="277">
        <v>32</v>
      </c>
      <c r="BB22" s="277">
        <v>36</v>
      </c>
      <c r="BC22" s="277"/>
      <c r="BD22" s="277"/>
      <c r="BE22" s="277">
        <v>211</v>
      </c>
      <c r="BF22" s="277">
        <v>279</v>
      </c>
      <c r="BG22" s="7"/>
      <c r="BH22" s="7"/>
      <c r="BI22" s="7"/>
      <c r="BJ22" s="7"/>
      <c r="BK22" s="7"/>
      <c r="BL22" s="7"/>
      <c r="BM22" s="7"/>
      <c r="BN22" s="31"/>
    </row>
    <row r="23" spans="1:66" s="3" customFormat="1" ht="15.75" x14ac:dyDescent="0.2">
      <c r="A23" s="94"/>
      <c r="B23" s="279" t="s">
        <v>570</v>
      </c>
      <c r="C23" s="279"/>
      <c r="D23" s="280"/>
      <c r="E23" s="280"/>
      <c r="F23" s="280"/>
      <c r="G23" s="280"/>
      <c r="H23" s="280"/>
      <c r="I23" s="279"/>
      <c r="J23" s="279"/>
      <c r="K23" s="279"/>
      <c r="L23" s="280"/>
      <c r="M23" s="280"/>
      <c r="N23" s="280"/>
      <c r="O23" s="280"/>
      <c r="P23" s="280"/>
      <c r="Q23" s="279"/>
      <c r="R23" s="279"/>
      <c r="S23" s="279"/>
      <c r="T23" s="281"/>
      <c r="U23" s="282"/>
      <c r="V23" s="281"/>
      <c r="W23" s="281"/>
      <c r="X23" s="283"/>
      <c r="Y23" s="281"/>
      <c r="Z23" s="284"/>
      <c r="AA23" s="277"/>
      <c r="AB23" s="277"/>
      <c r="AC23" s="277">
        <v>205</v>
      </c>
      <c r="AD23" s="277">
        <v>109</v>
      </c>
      <c r="AE23" s="277"/>
      <c r="AF23" s="277"/>
      <c r="AG23" s="277">
        <v>0</v>
      </c>
      <c r="AH23" s="277">
        <v>44</v>
      </c>
      <c r="AI23" s="277"/>
      <c r="AJ23" s="277"/>
      <c r="AK23" s="277">
        <v>317</v>
      </c>
      <c r="AL23" s="277">
        <v>384</v>
      </c>
      <c r="AM23" s="277"/>
      <c r="AN23" s="277"/>
      <c r="AO23" s="277">
        <v>0</v>
      </c>
      <c r="AP23" s="277">
        <v>490</v>
      </c>
      <c r="AQ23" s="277"/>
      <c r="AR23" s="277"/>
      <c r="AS23" s="277">
        <v>166</v>
      </c>
      <c r="AT23" s="277">
        <v>166</v>
      </c>
      <c r="AU23" s="277"/>
      <c r="AV23" s="277"/>
      <c r="AW23" s="285">
        <v>0</v>
      </c>
      <c r="AX23" s="277">
        <v>0</v>
      </c>
      <c r="AY23" s="277"/>
      <c r="AZ23" s="277"/>
      <c r="BA23" s="277">
        <v>51</v>
      </c>
      <c r="BB23" s="277">
        <v>44</v>
      </c>
      <c r="BC23" s="277"/>
      <c r="BD23" s="277"/>
      <c r="BE23" s="277">
        <v>0</v>
      </c>
      <c r="BF23" s="277">
        <v>0</v>
      </c>
      <c r="BG23" s="7"/>
      <c r="BH23" s="7"/>
      <c r="BI23" s="7"/>
      <c r="BJ23" s="7"/>
      <c r="BK23" s="7"/>
      <c r="BL23" s="7"/>
      <c r="BM23" s="7"/>
      <c r="BN23" s="31"/>
    </row>
    <row r="24" spans="1:66" s="3" customFormat="1" ht="15.75" x14ac:dyDescent="0.2">
      <c r="A24" s="94"/>
      <c r="B24" s="279" t="s">
        <v>813</v>
      </c>
      <c r="C24" s="279"/>
      <c r="D24" s="280"/>
      <c r="E24" s="280"/>
      <c r="F24" s="280"/>
      <c r="G24" s="280"/>
      <c r="H24" s="280"/>
      <c r="I24" s="279"/>
      <c r="J24" s="279"/>
      <c r="K24" s="279"/>
      <c r="L24" s="280"/>
      <c r="M24" s="280"/>
      <c r="N24" s="280"/>
      <c r="O24" s="280"/>
      <c r="P24" s="280"/>
      <c r="Q24" s="279"/>
      <c r="R24" s="279"/>
      <c r="S24" s="279"/>
      <c r="T24" s="281"/>
      <c r="U24" s="282"/>
      <c r="V24" s="281"/>
      <c r="W24" s="281"/>
      <c r="X24" s="283"/>
      <c r="Y24" s="281"/>
      <c r="Z24" s="284"/>
      <c r="AA24" s="277"/>
      <c r="AB24" s="277"/>
      <c r="AC24" s="277">
        <v>160</v>
      </c>
      <c r="AD24" s="277">
        <v>98</v>
      </c>
      <c r="AE24" s="277"/>
      <c r="AF24" s="277"/>
      <c r="AG24" s="277">
        <v>442</v>
      </c>
      <c r="AH24" s="277">
        <v>69</v>
      </c>
      <c r="AI24" s="277"/>
      <c r="AJ24" s="277"/>
      <c r="AK24" s="277">
        <v>62</v>
      </c>
      <c r="AL24" s="277">
        <v>39</v>
      </c>
      <c r="AM24" s="277"/>
      <c r="AN24" s="277"/>
      <c r="AO24" s="277">
        <v>0</v>
      </c>
      <c r="AP24" s="277">
        <v>209</v>
      </c>
      <c r="AQ24" s="277"/>
      <c r="AR24" s="277"/>
      <c r="AS24" s="277">
        <v>305</v>
      </c>
      <c r="AT24" s="277">
        <v>132</v>
      </c>
      <c r="AU24" s="277"/>
      <c r="AV24" s="277"/>
      <c r="AW24" s="285">
        <v>362</v>
      </c>
      <c r="AX24" s="277">
        <v>0</v>
      </c>
      <c r="AY24" s="277"/>
      <c r="AZ24" s="277"/>
      <c r="BA24" s="277">
        <v>97</v>
      </c>
      <c r="BB24" s="277">
        <v>122</v>
      </c>
      <c r="BC24" s="277"/>
      <c r="BD24" s="277"/>
      <c r="BE24" s="277">
        <v>129</v>
      </c>
      <c r="BF24" s="277">
        <v>146</v>
      </c>
      <c r="BG24" s="7"/>
      <c r="BH24" s="7"/>
      <c r="BI24" s="7"/>
      <c r="BJ24" s="7"/>
      <c r="BK24" s="7"/>
      <c r="BL24" s="7"/>
      <c r="BM24" s="7"/>
      <c r="BN24" s="31"/>
    </row>
    <row r="25" spans="1:66" ht="24" x14ac:dyDescent="0.25">
      <c r="A25" s="94">
        <v>3</v>
      </c>
      <c r="B25" s="130" t="s">
        <v>163</v>
      </c>
      <c r="C25" s="130" t="s">
        <v>664</v>
      </c>
      <c r="D25" s="129"/>
      <c r="E25" s="129" t="s">
        <v>660</v>
      </c>
      <c r="F25" s="129" t="s">
        <v>661</v>
      </c>
      <c r="G25" s="129" t="s">
        <v>571</v>
      </c>
      <c r="H25" s="129" t="s">
        <v>279</v>
      </c>
      <c r="I25" s="130" t="s">
        <v>665</v>
      </c>
      <c r="J25" s="130" t="s">
        <v>350</v>
      </c>
      <c r="K25" s="130" t="s">
        <v>350</v>
      </c>
      <c r="L25" s="129" t="s">
        <v>350</v>
      </c>
      <c r="M25" s="129"/>
      <c r="N25" s="129" t="s">
        <v>285</v>
      </c>
      <c r="O25" s="129" t="s">
        <v>286</v>
      </c>
      <c r="P25" s="129"/>
      <c r="Q25" s="130" t="s">
        <v>350</v>
      </c>
      <c r="R25" s="130"/>
      <c r="S25" s="130" t="s">
        <v>953</v>
      </c>
      <c r="T25" s="189"/>
      <c r="U25" s="213"/>
      <c r="V25" s="189" t="s">
        <v>794</v>
      </c>
      <c r="W25" s="189"/>
      <c r="X25" s="214"/>
      <c r="Y25" s="189"/>
      <c r="Z25" s="21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6"/>
    </row>
    <row r="26" spans="1:66" ht="15.75" x14ac:dyDescent="0.25">
      <c r="A26" s="94">
        <v>4</v>
      </c>
      <c r="B26" s="146" t="s">
        <v>164</v>
      </c>
      <c r="C26" s="146" t="s">
        <v>666</v>
      </c>
      <c r="D26" s="142" t="s">
        <v>663</v>
      </c>
      <c r="E26" s="142" t="s">
        <v>660</v>
      </c>
      <c r="F26" s="142" t="s">
        <v>661</v>
      </c>
      <c r="G26" s="142" t="s">
        <v>571</v>
      </c>
      <c r="H26" s="142" t="s">
        <v>279</v>
      </c>
      <c r="I26" s="146" t="s">
        <v>331</v>
      </c>
      <c r="J26" s="146" t="s">
        <v>332</v>
      </c>
      <c r="K26" s="146" t="s">
        <v>333</v>
      </c>
      <c r="L26" s="142" t="s">
        <v>334</v>
      </c>
      <c r="M26" s="142"/>
      <c r="N26" s="142" t="s">
        <v>285</v>
      </c>
      <c r="O26" s="142" t="s">
        <v>286</v>
      </c>
      <c r="P26" s="142"/>
      <c r="Q26" s="146" t="s">
        <v>350</v>
      </c>
      <c r="R26" s="146"/>
      <c r="S26" s="146" t="s">
        <v>964</v>
      </c>
      <c r="T26" s="189" t="s">
        <v>794</v>
      </c>
      <c r="U26" s="213" t="s">
        <v>794</v>
      </c>
      <c r="V26" s="189"/>
      <c r="W26" s="189"/>
      <c r="X26" s="214"/>
      <c r="Y26" s="189"/>
      <c r="Z26" s="215"/>
      <c r="AA26" s="45"/>
      <c r="AB26" s="45"/>
      <c r="AC26" s="274">
        <v>5713</v>
      </c>
      <c r="AD26" s="274">
        <v>6454</v>
      </c>
      <c r="AE26" s="274"/>
      <c r="AF26" s="274"/>
      <c r="AG26" s="274">
        <v>1135</v>
      </c>
      <c r="AH26" s="274">
        <v>5053</v>
      </c>
      <c r="AI26" s="274"/>
      <c r="AJ26" s="274"/>
      <c r="AK26" s="274">
        <v>2174</v>
      </c>
      <c r="AL26" s="274">
        <v>2509</v>
      </c>
      <c r="AM26" s="274"/>
      <c r="AN26" s="274"/>
      <c r="AO26" s="274">
        <v>0</v>
      </c>
      <c r="AP26" s="274">
        <v>3580</v>
      </c>
      <c r="AQ26" s="274"/>
      <c r="AR26" s="274"/>
      <c r="AS26" s="274">
        <v>2192</v>
      </c>
      <c r="AT26" s="274">
        <v>2139</v>
      </c>
      <c r="AU26" s="274"/>
      <c r="AV26" s="274"/>
      <c r="AW26" s="274">
        <v>1099</v>
      </c>
      <c r="AX26" s="274">
        <v>0</v>
      </c>
      <c r="AY26" s="274"/>
      <c r="AZ26" s="274"/>
      <c r="BA26" s="274">
        <v>526</v>
      </c>
      <c r="BB26" s="274">
        <v>577</v>
      </c>
      <c r="BC26" s="274"/>
      <c r="BD26" s="274"/>
      <c r="BE26" s="274">
        <v>1596</v>
      </c>
      <c r="BF26" s="274">
        <v>2047</v>
      </c>
      <c r="BG26" s="45"/>
      <c r="BH26" s="45"/>
      <c r="BI26" s="45"/>
      <c r="BJ26" s="45"/>
      <c r="BK26" s="45"/>
      <c r="BL26" s="45"/>
      <c r="BM26" s="45"/>
      <c r="BN26" s="46"/>
    </row>
    <row r="27" spans="1:66" ht="15.75" x14ac:dyDescent="0.25">
      <c r="A27" s="94">
        <v>5</v>
      </c>
      <c r="B27" s="130" t="s">
        <v>165</v>
      </c>
      <c r="C27" s="130" t="s">
        <v>667</v>
      </c>
      <c r="D27" s="129" t="s">
        <v>663</v>
      </c>
      <c r="E27" s="129" t="s">
        <v>660</v>
      </c>
      <c r="F27" s="129" t="s">
        <v>661</v>
      </c>
      <c r="G27" s="129" t="s">
        <v>571</v>
      </c>
      <c r="H27" s="129" t="s">
        <v>279</v>
      </c>
      <c r="I27" s="130" t="s">
        <v>331</v>
      </c>
      <c r="J27" s="130" t="s">
        <v>332</v>
      </c>
      <c r="K27" s="130" t="s">
        <v>333</v>
      </c>
      <c r="L27" s="129" t="s">
        <v>334</v>
      </c>
      <c r="M27" s="129"/>
      <c r="N27" s="129" t="s">
        <v>285</v>
      </c>
      <c r="O27" s="129" t="s">
        <v>286</v>
      </c>
      <c r="P27" s="129"/>
      <c r="Q27" s="130" t="s">
        <v>350</v>
      </c>
      <c r="R27" s="130"/>
      <c r="S27" s="130" t="s">
        <v>953</v>
      </c>
      <c r="T27" s="189"/>
      <c r="U27" s="213"/>
      <c r="V27" s="189" t="s">
        <v>794</v>
      </c>
      <c r="W27" s="189"/>
      <c r="X27" s="214"/>
      <c r="Y27" s="189"/>
      <c r="Z27" s="21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6"/>
    </row>
    <row r="28" spans="1:66" s="424" customFormat="1" ht="15.75" x14ac:dyDescent="0.25">
      <c r="A28" s="420">
        <v>6</v>
      </c>
      <c r="B28" s="421" t="s">
        <v>166</v>
      </c>
      <c r="C28" s="414" t="s">
        <v>668</v>
      </c>
      <c r="D28" s="413" t="s">
        <v>669</v>
      </c>
      <c r="E28" s="413" t="s">
        <v>569</v>
      </c>
      <c r="F28" s="413" t="s">
        <v>670</v>
      </c>
      <c r="G28" s="413" t="s">
        <v>571</v>
      </c>
      <c r="H28" s="413" t="s">
        <v>384</v>
      </c>
      <c r="I28" s="414" t="s">
        <v>420</v>
      </c>
      <c r="J28" s="414" t="s">
        <v>350</v>
      </c>
      <c r="K28" s="414" t="s">
        <v>350</v>
      </c>
      <c r="L28" s="413" t="s">
        <v>350</v>
      </c>
      <c r="M28" s="413"/>
      <c r="N28" s="413" t="s">
        <v>285</v>
      </c>
      <c r="O28" s="413" t="s">
        <v>286</v>
      </c>
      <c r="P28" s="413"/>
      <c r="Q28" s="414" t="s">
        <v>350</v>
      </c>
      <c r="R28" s="414"/>
      <c r="S28" s="414"/>
      <c r="T28" s="393" t="s">
        <v>794</v>
      </c>
      <c r="U28" s="394"/>
      <c r="V28" s="393" t="s">
        <v>794</v>
      </c>
      <c r="W28" s="393"/>
      <c r="X28" s="395"/>
      <c r="Y28" s="393"/>
      <c r="Z28" s="396"/>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3"/>
    </row>
    <row r="29" spans="1:66" ht="15.75" x14ac:dyDescent="0.25">
      <c r="A29" s="94">
        <v>7</v>
      </c>
      <c r="B29" s="101" t="s">
        <v>167</v>
      </c>
      <c r="C29" s="130" t="s">
        <v>671</v>
      </c>
      <c r="D29" s="129" t="s">
        <v>663</v>
      </c>
      <c r="E29" s="129" t="s">
        <v>569</v>
      </c>
      <c r="F29" s="129" t="s">
        <v>670</v>
      </c>
      <c r="G29" s="129" t="s">
        <v>571</v>
      </c>
      <c r="H29" s="129" t="s">
        <v>672</v>
      </c>
      <c r="I29" s="130" t="s">
        <v>420</v>
      </c>
      <c r="J29" s="130" t="s">
        <v>350</v>
      </c>
      <c r="K29" s="130" t="s">
        <v>350</v>
      </c>
      <c r="L29" s="129" t="s">
        <v>350</v>
      </c>
      <c r="M29" s="129"/>
      <c r="N29" s="129" t="s">
        <v>285</v>
      </c>
      <c r="O29" s="129" t="s">
        <v>286</v>
      </c>
      <c r="P29" s="129"/>
      <c r="Q29" s="130" t="s">
        <v>350</v>
      </c>
      <c r="R29" s="130"/>
      <c r="S29" s="130" t="s">
        <v>953</v>
      </c>
      <c r="T29" s="190"/>
      <c r="U29" s="216"/>
      <c r="V29" s="190" t="s">
        <v>794</v>
      </c>
      <c r="W29" s="190"/>
      <c r="X29" s="217"/>
      <c r="Y29" s="190"/>
      <c r="Z29" s="218"/>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6"/>
    </row>
    <row r="30" spans="1:66" ht="15.75" x14ac:dyDescent="0.25">
      <c r="A30" s="94">
        <v>8</v>
      </c>
      <c r="B30" s="242" t="s">
        <v>168</v>
      </c>
      <c r="C30" s="146" t="s">
        <v>673</v>
      </c>
      <c r="D30" s="142" t="s">
        <v>663</v>
      </c>
      <c r="E30" s="142" t="s">
        <v>569</v>
      </c>
      <c r="F30" s="142" t="s">
        <v>670</v>
      </c>
      <c r="G30" s="142" t="s">
        <v>571</v>
      </c>
      <c r="H30" s="142" t="s">
        <v>384</v>
      </c>
      <c r="I30" s="146" t="s">
        <v>420</v>
      </c>
      <c r="J30" s="146" t="s">
        <v>350</v>
      </c>
      <c r="K30" s="146" t="s">
        <v>350</v>
      </c>
      <c r="L30" s="142" t="s">
        <v>350</v>
      </c>
      <c r="M30" s="142"/>
      <c r="N30" s="142" t="s">
        <v>285</v>
      </c>
      <c r="O30" s="142" t="s">
        <v>286</v>
      </c>
      <c r="P30" s="142"/>
      <c r="Q30" s="146" t="s">
        <v>350</v>
      </c>
      <c r="R30" s="146"/>
      <c r="S30" s="146" t="s">
        <v>953</v>
      </c>
      <c r="T30" s="190" t="s">
        <v>794</v>
      </c>
      <c r="U30" s="216"/>
      <c r="V30" s="190" t="s">
        <v>794</v>
      </c>
      <c r="W30" s="190"/>
      <c r="X30" s="217"/>
      <c r="Y30" s="190"/>
      <c r="Z30" s="218"/>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6"/>
    </row>
    <row r="31" spans="1:66" ht="15.75" x14ac:dyDescent="0.25">
      <c r="A31" s="94">
        <v>9</v>
      </c>
      <c r="B31" s="101" t="s">
        <v>169</v>
      </c>
      <c r="C31" s="130" t="s">
        <v>674</v>
      </c>
      <c r="D31" s="129" t="s">
        <v>663</v>
      </c>
      <c r="E31" s="129" t="s">
        <v>569</v>
      </c>
      <c r="F31" s="129" t="s">
        <v>670</v>
      </c>
      <c r="G31" s="129" t="s">
        <v>571</v>
      </c>
      <c r="H31" s="129" t="s">
        <v>672</v>
      </c>
      <c r="I31" s="130" t="s">
        <v>420</v>
      </c>
      <c r="J31" s="130" t="s">
        <v>350</v>
      </c>
      <c r="K31" s="130" t="s">
        <v>350</v>
      </c>
      <c r="L31" s="129" t="s">
        <v>350</v>
      </c>
      <c r="M31" s="129"/>
      <c r="N31" s="129" t="s">
        <v>285</v>
      </c>
      <c r="O31" s="129" t="s">
        <v>286</v>
      </c>
      <c r="P31" s="129"/>
      <c r="Q31" s="130" t="s">
        <v>350</v>
      </c>
      <c r="R31" s="130"/>
      <c r="S31" s="130" t="s">
        <v>953</v>
      </c>
      <c r="T31" s="190"/>
      <c r="U31" s="216"/>
      <c r="V31" s="190" t="s">
        <v>794</v>
      </c>
      <c r="W31" s="190"/>
      <c r="X31" s="217"/>
      <c r="Y31" s="190"/>
      <c r="Z31" s="218"/>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6"/>
    </row>
    <row r="32" spans="1:66" s="424" customFormat="1" ht="24" x14ac:dyDescent="0.25">
      <c r="A32" s="420">
        <v>10</v>
      </c>
      <c r="B32" s="421" t="s">
        <v>170</v>
      </c>
      <c r="C32" s="414" t="s">
        <v>675</v>
      </c>
      <c r="D32" s="413" t="s">
        <v>676</v>
      </c>
      <c r="E32" s="413" t="s">
        <v>660</v>
      </c>
      <c r="F32" s="413" t="s">
        <v>677</v>
      </c>
      <c r="G32" s="413" t="s">
        <v>350</v>
      </c>
      <c r="H32" s="413" t="s">
        <v>384</v>
      </c>
      <c r="I32" s="414" t="s">
        <v>678</v>
      </c>
      <c r="J32" s="414" t="s">
        <v>679</v>
      </c>
      <c r="K32" s="414" t="s">
        <v>350</v>
      </c>
      <c r="L32" s="413" t="s">
        <v>350</v>
      </c>
      <c r="M32" s="413"/>
      <c r="N32" s="413" t="s">
        <v>285</v>
      </c>
      <c r="O32" s="413" t="s">
        <v>680</v>
      </c>
      <c r="P32" s="413" t="s">
        <v>409</v>
      </c>
      <c r="Q32" s="414" t="s">
        <v>681</v>
      </c>
      <c r="R32" s="414"/>
      <c r="S32" s="414" t="s">
        <v>953</v>
      </c>
      <c r="T32" s="425" t="s">
        <v>794</v>
      </c>
      <c r="U32" s="426"/>
      <c r="V32" s="425" t="s">
        <v>794</v>
      </c>
      <c r="W32" s="425"/>
      <c r="X32" s="427"/>
      <c r="Y32" s="425"/>
      <c r="Z32" s="428"/>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3"/>
    </row>
    <row r="33" spans="1:66" ht="60" x14ac:dyDescent="0.25">
      <c r="A33" s="94">
        <v>11</v>
      </c>
      <c r="B33" s="242" t="s">
        <v>171</v>
      </c>
      <c r="C33" s="146" t="s">
        <v>682</v>
      </c>
      <c r="D33" s="142" t="s">
        <v>676</v>
      </c>
      <c r="E33" s="142" t="s">
        <v>660</v>
      </c>
      <c r="F33" s="142" t="s">
        <v>677</v>
      </c>
      <c r="G33" s="142" t="s">
        <v>350</v>
      </c>
      <c r="H33" s="142" t="s">
        <v>384</v>
      </c>
      <c r="I33" s="146" t="s">
        <v>678</v>
      </c>
      <c r="J33" s="146" t="s">
        <v>683</v>
      </c>
      <c r="K33" s="146" t="s">
        <v>350</v>
      </c>
      <c r="L33" s="142" t="s">
        <v>350</v>
      </c>
      <c r="M33" s="142"/>
      <c r="N33" s="142" t="s">
        <v>285</v>
      </c>
      <c r="O33" s="142" t="s">
        <v>680</v>
      </c>
      <c r="P33" s="142" t="s">
        <v>409</v>
      </c>
      <c r="Q33" s="146" t="s">
        <v>684</v>
      </c>
      <c r="R33" s="146"/>
      <c r="S33" s="146" t="s">
        <v>965</v>
      </c>
      <c r="T33" s="190" t="s">
        <v>794</v>
      </c>
      <c r="U33" s="216" t="s">
        <v>794</v>
      </c>
      <c r="V33" s="190"/>
      <c r="W33" s="190"/>
      <c r="X33" s="217"/>
      <c r="Y33" s="190"/>
      <c r="Z33" s="218"/>
      <c r="AA33" s="276"/>
      <c r="AB33" s="276"/>
      <c r="AC33" s="276">
        <v>2011</v>
      </c>
      <c r="AD33" s="276"/>
      <c r="AE33" s="276"/>
      <c r="AF33" s="276"/>
      <c r="AG33" s="276">
        <v>2011</v>
      </c>
      <c r="AH33" s="276"/>
      <c r="AI33" s="276"/>
      <c r="AJ33" s="276"/>
      <c r="AK33" s="276">
        <v>2011</v>
      </c>
      <c r="AL33" s="276"/>
      <c r="AM33" s="276"/>
      <c r="AN33" s="276"/>
      <c r="AO33" s="276">
        <v>2011</v>
      </c>
      <c r="AP33" s="276"/>
      <c r="AQ33" s="276"/>
      <c r="AR33" s="276"/>
      <c r="AS33" s="276">
        <v>2011</v>
      </c>
      <c r="AT33" s="276"/>
      <c r="AU33" s="276"/>
      <c r="AV33" s="276"/>
      <c r="AW33" s="276">
        <v>2011</v>
      </c>
      <c r="AX33" s="276"/>
      <c r="AY33" s="276"/>
      <c r="AZ33" s="276"/>
      <c r="BA33" s="276">
        <v>2011</v>
      </c>
      <c r="BB33" s="276"/>
      <c r="BC33" s="276"/>
      <c r="BD33" s="276"/>
      <c r="BE33" s="276">
        <v>2011</v>
      </c>
      <c r="BF33" s="45"/>
      <c r="BG33" s="45"/>
      <c r="BH33" s="45"/>
      <c r="BI33" s="45"/>
      <c r="BJ33" s="45"/>
      <c r="BK33" s="45"/>
      <c r="BL33" s="45"/>
      <c r="BM33" s="45"/>
      <c r="BN33" s="46"/>
    </row>
    <row r="34" spans="1:66" s="287" customFormat="1" ht="15.75" x14ac:dyDescent="0.25">
      <c r="A34" s="290"/>
      <c r="B34" s="279" t="s">
        <v>814</v>
      </c>
      <c r="C34" s="279"/>
      <c r="D34" s="280"/>
      <c r="E34" s="280"/>
      <c r="F34" s="280"/>
      <c r="G34" s="280"/>
      <c r="H34" s="280"/>
      <c r="I34" s="279"/>
      <c r="J34" s="279"/>
      <c r="K34" s="279"/>
      <c r="L34" s="280"/>
      <c r="M34" s="280"/>
      <c r="N34" s="280"/>
      <c r="O34" s="280"/>
      <c r="P34" s="280"/>
      <c r="Q34" s="279"/>
      <c r="R34" s="279"/>
      <c r="S34" s="279"/>
      <c r="T34" s="281"/>
      <c r="U34" s="282"/>
      <c r="V34" s="281"/>
      <c r="W34" s="281"/>
      <c r="X34" s="283"/>
      <c r="Y34" s="281"/>
      <c r="Z34" s="284"/>
      <c r="AA34" s="286"/>
      <c r="AB34" s="286"/>
      <c r="AC34" s="297">
        <v>1107068</v>
      </c>
      <c r="AD34" s="297"/>
      <c r="AE34" s="297"/>
      <c r="AF34" s="297"/>
      <c r="AG34" s="297">
        <v>736009</v>
      </c>
      <c r="AH34" s="297"/>
      <c r="AI34" s="297"/>
      <c r="AJ34" s="297"/>
      <c r="AK34" s="297">
        <v>1134144</v>
      </c>
      <c r="AL34" s="297"/>
      <c r="AM34" s="297"/>
      <c r="AN34" s="297"/>
      <c r="AO34" s="297">
        <v>990263</v>
      </c>
      <c r="AP34" s="297"/>
      <c r="AQ34" s="297"/>
      <c r="AR34" s="297"/>
      <c r="AS34" s="297">
        <v>804170</v>
      </c>
      <c r="AT34" s="297"/>
      <c r="AU34" s="297"/>
      <c r="AV34" s="297"/>
      <c r="AW34" s="297">
        <v>369366</v>
      </c>
      <c r="AX34" s="297"/>
      <c r="AY34" s="297"/>
      <c r="AZ34" s="297"/>
      <c r="BA34" s="297">
        <v>218108</v>
      </c>
      <c r="BB34" s="297"/>
      <c r="BC34" s="297"/>
      <c r="BD34" s="297"/>
      <c r="BE34" s="298">
        <v>204967</v>
      </c>
      <c r="BF34" s="288"/>
      <c r="BG34" s="288"/>
      <c r="BH34" s="288"/>
      <c r="BI34" s="288"/>
      <c r="BJ34" s="288"/>
      <c r="BK34" s="288"/>
      <c r="BL34" s="288"/>
      <c r="BM34" s="288"/>
      <c r="BN34" s="289"/>
    </row>
    <row r="35" spans="1:66" s="287" customFormat="1" ht="15.75" x14ac:dyDescent="0.25">
      <c r="A35" s="290"/>
      <c r="B35" s="279" t="s">
        <v>815</v>
      </c>
      <c r="C35" s="285"/>
      <c r="D35" s="280"/>
      <c r="E35" s="280"/>
      <c r="F35" s="280"/>
      <c r="G35" s="280"/>
      <c r="H35" s="280"/>
      <c r="I35" s="279"/>
      <c r="J35" s="279"/>
      <c r="K35" s="279"/>
      <c r="L35" s="280"/>
      <c r="M35" s="280"/>
      <c r="N35" s="280"/>
      <c r="O35" s="280"/>
      <c r="P35" s="280"/>
      <c r="Q35" s="279"/>
      <c r="R35" s="279"/>
      <c r="S35" s="279"/>
      <c r="T35" s="281"/>
      <c r="U35" s="282"/>
      <c r="V35" s="281"/>
      <c r="W35" s="281"/>
      <c r="X35" s="283"/>
      <c r="Y35" s="281"/>
      <c r="Z35" s="284"/>
      <c r="AA35" s="389">
        <v>2014</v>
      </c>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9"/>
    </row>
    <row r="36" spans="1:66" s="287" customFormat="1" ht="15.75" x14ac:dyDescent="0.25">
      <c r="A36" s="290"/>
      <c r="B36" s="279" t="s">
        <v>239</v>
      </c>
      <c r="C36" s="285"/>
      <c r="D36" s="280"/>
      <c r="E36" s="280"/>
      <c r="F36" s="280"/>
      <c r="G36" s="280"/>
      <c r="H36" s="280"/>
      <c r="I36" s="279"/>
      <c r="J36" s="279"/>
      <c r="K36" s="279"/>
      <c r="L36" s="280"/>
      <c r="M36" s="280"/>
      <c r="N36" s="280"/>
      <c r="O36" s="280"/>
      <c r="P36" s="280"/>
      <c r="Q36" s="279"/>
      <c r="R36" s="279"/>
      <c r="S36" s="279"/>
      <c r="T36" s="281"/>
      <c r="U36" s="282"/>
      <c r="V36" s="281"/>
      <c r="W36" s="281"/>
      <c r="X36" s="283"/>
      <c r="Y36" s="281"/>
      <c r="Z36" s="284"/>
      <c r="AA36" s="294">
        <v>5995369</v>
      </c>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9"/>
    </row>
    <row r="37" spans="1:66" s="287" customFormat="1" ht="15.75" x14ac:dyDescent="0.25">
      <c r="A37" s="290"/>
      <c r="B37" s="279" t="s">
        <v>242</v>
      </c>
      <c r="C37" s="279"/>
      <c r="D37" s="280"/>
      <c r="E37" s="280"/>
      <c r="F37" s="280"/>
      <c r="G37" s="280"/>
      <c r="H37" s="280"/>
      <c r="I37" s="279"/>
      <c r="J37" s="279"/>
      <c r="K37" s="279"/>
      <c r="L37" s="280"/>
      <c r="M37" s="280"/>
      <c r="N37" s="280"/>
      <c r="O37" s="280"/>
      <c r="P37" s="280"/>
      <c r="Q37" s="279"/>
      <c r="R37" s="279"/>
      <c r="S37" s="279"/>
      <c r="T37" s="281"/>
      <c r="U37" s="282"/>
      <c r="V37" s="281"/>
      <c r="W37" s="281"/>
      <c r="X37" s="283"/>
      <c r="Y37" s="281"/>
      <c r="Z37" s="284"/>
      <c r="AA37" s="294">
        <v>1430477</v>
      </c>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9"/>
    </row>
    <row r="38" spans="1:66" s="287" customFormat="1" ht="15.75" x14ac:dyDescent="0.25">
      <c r="A38" s="290"/>
      <c r="B38" s="279" t="s">
        <v>240</v>
      </c>
      <c r="C38" s="279"/>
      <c r="D38" s="280"/>
      <c r="E38" s="280"/>
      <c r="F38" s="280"/>
      <c r="G38" s="280"/>
      <c r="H38" s="280"/>
      <c r="I38" s="279"/>
      <c r="J38" s="279"/>
      <c r="K38" s="279"/>
      <c r="L38" s="280"/>
      <c r="M38" s="280"/>
      <c r="N38" s="280"/>
      <c r="O38" s="280"/>
      <c r="P38" s="280"/>
      <c r="Q38" s="279"/>
      <c r="R38" s="279"/>
      <c r="S38" s="279"/>
      <c r="T38" s="281"/>
      <c r="U38" s="282"/>
      <c r="V38" s="281"/>
      <c r="W38" s="281"/>
      <c r="X38" s="283"/>
      <c r="Y38" s="281"/>
      <c r="Z38" s="284"/>
      <c r="AA38" s="295">
        <v>2912577</v>
      </c>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9"/>
    </row>
    <row r="39" spans="1:66" s="287" customFormat="1" ht="15.75" x14ac:dyDescent="0.25">
      <c r="A39" s="290"/>
      <c r="B39" s="279" t="s">
        <v>246</v>
      </c>
      <c r="C39" s="279"/>
      <c r="D39" s="280"/>
      <c r="E39" s="280"/>
      <c r="F39" s="280"/>
      <c r="G39" s="280"/>
      <c r="H39" s="280"/>
      <c r="I39" s="279"/>
      <c r="J39" s="279"/>
      <c r="K39" s="279"/>
      <c r="L39" s="280"/>
      <c r="M39" s="280"/>
      <c r="N39" s="280"/>
      <c r="O39" s="280"/>
      <c r="P39" s="280"/>
      <c r="Q39" s="279"/>
      <c r="R39" s="279"/>
      <c r="S39" s="279"/>
      <c r="T39" s="281"/>
      <c r="U39" s="282"/>
      <c r="V39" s="281"/>
      <c r="W39" s="281"/>
      <c r="X39" s="283"/>
      <c r="Y39" s="281"/>
      <c r="Z39" s="284"/>
      <c r="AA39" s="294">
        <v>3202037</v>
      </c>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9"/>
    </row>
    <row r="40" spans="1:66" s="287" customFormat="1" ht="15.75" x14ac:dyDescent="0.25">
      <c r="A40" s="290"/>
      <c r="B40" s="279" t="s">
        <v>241</v>
      </c>
      <c r="C40" s="279"/>
      <c r="D40" s="280"/>
      <c r="E40" s="280"/>
      <c r="F40" s="280"/>
      <c r="G40" s="280"/>
      <c r="H40" s="280"/>
      <c r="I40" s="279"/>
      <c r="J40" s="279"/>
      <c r="K40" s="279"/>
      <c r="L40" s="280"/>
      <c r="M40" s="280"/>
      <c r="N40" s="280"/>
      <c r="O40" s="280"/>
      <c r="P40" s="280"/>
      <c r="Q40" s="279"/>
      <c r="R40" s="279"/>
      <c r="S40" s="279"/>
      <c r="T40" s="281"/>
      <c r="U40" s="282"/>
      <c r="V40" s="281"/>
      <c r="W40" s="281"/>
      <c r="X40" s="283"/>
      <c r="Y40" s="281"/>
      <c r="Z40" s="284"/>
      <c r="AA40" s="294">
        <v>5084138</v>
      </c>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9"/>
    </row>
    <row r="41" spans="1:66" s="287" customFormat="1" ht="15.75" x14ac:dyDescent="0.25">
      <c r="A41" s="290"/>
      <c r="B41" s="279" t="s">
        <v>244</v>
      </c>
      <c r="C41" s="279"/>
      <c r="D41" s="280"/>
      <c r="E41" s="280"/>
      <c r="F41" s="280"/>
      <c r="G41" s="280"/>
      <c r="H41" s="280"/>
      <c r="I41" s="292"/>
      <c r="J41" s="293"/>
      <c r="K41" s="279"/>
      <c r="L41" s="280"/>
      <c r="M41" s="280"/>
      <c r="N41" s="280"/>
      <c r="O41" s="280"/>
      <c r="P41" s="280"/>
      <c r="Q41" s="279"/>
      <c r="R41" s="279"/>
      <c r="S41" s="279"/>
      <c r="T41" s="281"/>
      <c r="U41" s="282"/>
      <c r="V41" s="281"/>
      <c r="W41" s="281"/>
      <c r="X41" s="283"/>
      <c r="Y41" s="281"/>
      <c r="Z41" s="284"/>
      <c r="AA41" s="296">
        <v>2423990</v>
      </c>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9"/>
    </row>
    <row r="42" spans="1:66" s="287" customFormat="1" ht="15.75" x14ac:dyDescent="0.25">
      <c r="A42" s="290"/>
      <c r="B42" s="279" t="s">
        <v>250</v>
      </c>
      <c r="C42" s="279"/>
      <c r="D42" s="280"/>
      <c r="E42" s="280"/>
      <c r="F42" s="280"/>
      <c r="G42" s="280"/>
      <c r="H42" s="280"/>
      <c r="I42" s="279"/>
      <c r="J42" s="279"/>
      <c r="K42" s="279"/>
      <c r="L42" s="280"/>
      <c r="M42" s="280"/>
      <c r="N42" s="280"/>
      <c r="O42" s="280"/>
      <c r="P42" s="280"/>
      <c r="Q42" s="279"/>
      <c r="R42" s="279"/>
      <c r="S42" s="279"/>
      <c r="T42" s="281"/>
      <c r="U42" s="282"/>
      <c r="V42" s="281"/>
      <c r="W42" s="281"/>
      <c r="X42" s="283"/>
      <c r="Y42" s="281"/>
      <c r="Z42" s="284"/>
      <c r="AA42" s="294">
        <v>591965</v>
      </c>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9"/>
    </row>
    <row r="43" spans="1:66" s="287" customFormat="1" ht="15.75" x14ac:dyDescent="0.25">
      <c r="A43" s="290"/>
      <c r="B43" s="279" t="s">
        <v>243</v>
      </c>
      <c r="C43" s="279"/>
      <c r="D43" s="280"/>
      <c r="E43" s="280"/>
      <c r="F43" s="280"/>
      <c r="G43" s="280"/>
      <c r="H43" s="280"/>
      <c r="I43" s="279"/>
      <c r="J43" s="279"/>
      <c r="K43" s="279"/>
      <c r="L43" s="280"/>
      <c r="M43" s="280"/>
      <c r="N43" s="280"/>
      <c r="O43" s="280"/>
      <c r="P43" s="280"/>
      <c r="Q43" s="279"/>
      <c r="R43" s="279"/>
      <c r="S43" s="279"/>
      <c r="T43" s="281"/>
      <c r="U43" s="282"/>
      <c r="V43" s="281"/>
      <c r="W43" s="281"/>
      <c r="X43" s="283"/>
      <c r="Y43" s="281"/>
      <c r="Z43" s="284"/>
      <c r="AA43" s="294">
        <v>1655930</v>
      </c>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9"/>
    </row>
    <row r="44" spans="1:66" s="287" customFormat="1" ht="15.75" x14ac:dyDescent="0.25">
      <c r="A44" s="290"/>
      <c r="B44" s="279" t="s">
        <v>245</v>
      </c>
      <c r="C44" s="279"/>
      <c r="D44" s="280"/>
      <c r="E44" s="280"/>
      <c r="F44" s="280"/>
      <c r="G44" s="280"/>
      <c r="H44" s="280"/>
      <c r="I44" s="279"/>
      <c r="J44" s="279"/>
      <c r="K44" s="279"/>
      <c r="L44" s="280"/>
      <c r="M44" s="280"/>
      <c r="N44" s="280"/>
      <c r="O44" s="280"/>
      <c r="P44" s="280"/>
      <c r="Q44" s="279"/>
      <c r="R44" s="279"/>
      <c r="S44" s="279"/>
      <c r="T44" s="281"/>
      <c r="U44" s="282"/>
      <c r="V44" s="281"/>
      <c r="W44" s="281"/>
      <c r="X44" s="283"/>
      <c r="Y44" s="281"/>
      <c r="Z44" s="284"/>
      <c r="AA44" s="294">
        <v>1841941</v>
      </c>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9"/>
    </row>
    <row r="45" spans="1:66" s="287" customFormat="1" ht="15.75" x14ac:dyDescent="0.25">
      <c r="A45" s="290"/>
      <c r="B45" s="291" t="s">
        <v>381</v>
      </c>
      <c r="C45" s="279"/>
      <c r="D45" s="280"/>
      <c r="E45" s="280"/>
      <c r="F45" s="280"/>
      <c r="G45" s="280"/>
      <c r="H45" s="280"/>
      <c r="I45" s="279"/>
      <c r="J45" s="279"/>
      <c r="K45" s="279"/>
      <c r="L45" s="280"/>
      <c r="M45" s="280"/>
      <c r="N45" s="280"/>
      <c r="O45" s="280"/>
      <c r="P45" s="280"/>
      <c r="Q45" s="279"/>
      <c r="R45" s="279"/>
      <c r="S45" s="279"/>
      <c r="T45" s="281"/>
      <c r="U45" s="282"/>
      <c r="V45" s="281"/>
      <c r="W45" s="281"/>
      <c r="X45" s="283"/>
      <c r="Y45" s="281"/>
      <c r="Z45" s="284"/>
      <c r="AA45" s="299">
        <f>SUM(AA36:AA44)</f>
        <v>25138424</v>
      </c>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9"/>
    </row>
    <row r="46" spans="1:66" ht="132" x14ac:dyDescent="0.25">
      <c r="A46" s="94">
        <v>12</v>
      </c>
      <c r="B46" s="101" t="s">
        <v>172</v>
      </c>
      <c r="C46" s="130" t="s">
        <v>685</v>
      </c>
      <c r="D46" s="129" t="s">
        <v>686</v>
      </c>
      <c r="E46" s="129" t="s">
        <v>660</v>
      </c>
      <c r="F46" s="129" t="s">
        <v>677</v>
      </c>
      <c r="G46" s="129" t="s">
        <v>350</v>
      </c>
      <c r="H46" s="129" t="s">
        <v>672</v>
      </c>
      <c r="I46" s="130" t="s">
        <v>420</v>
      </c>
      <c r="J46" s="130" t="s">
        <v>350</v>
      </c>
      <c r="K46" s="130" t="s">
        <v>350</v>
      </c>
      <c r="L46" s="129" t="s">
        <v>350</v>
      </c>
      <c r="M46" s="129"/>
      <c r="N46" s="129" t="s">
        <v>285</v>
      </c>
      <c r="O46" s="129" t="s">
        <v>286</v>
      </c>
      <c r="P46" s="129"/>
      <c r="Q46" s="130" t="s">
        <v>350</v>
      </c>
      <c r="R46" s="130"/>
      <c r="S46" s="130" t="s">
        <v>953</v>
      </c>
      <c r="T46" s="190"/>
      <c r="U46" s="216"/>
      <c r="V46" s="190" t="s">
        <v>794</v>
      </c>
      <c r="W46" s="190"/>
      <c r="X46" s="217"/>
      <c r="Y46" s="190"/>
      <c r="Z46" s="218"/>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6"/>
    </row>
    <row r="47" spans="1:66" s="424" customFormat="1" ht="36" x14ac:dyDescent="0.25">
      <c r="A47" s="420">
        <v>13</v>
      </c>
      <c r="B47" s="421" t="s">
        <v>173</v>
      </c>
      <c r="C47" s="414" t="s">
        <v>687</v>
      </c>
      <c r="D47" s="413" t="s">
        <v>688</v>
      </c>
      <c r="E47" s="413" t="s">
        <v>660</v>
      </c>
      <c r="F47" s="413" t="s">
        <v>677</v>
      </c>
      <c r="G47" s="413" t="s">
        <v>350</v>
      </c>
      <c r="H47" s="413" t="s">
        <v>672</v>
      </c>
      <c r="I47" s="414" t="s">
        <v>420</v>
      </c>
      <c r="J47" s="414" t="s">
        <v>350</v>
      </c>
      <c r="K47" s="414" t="s">
        <v>350</v>
      </c>
      <c r="L47" s="413" t="s">
        <v>350</v>
      </c>
      <c r="M47" s="413"/>
      <c r="N47" s="413" t="s">
        <v>285</v>
      </c>
      <c r="O47" s="413" t="s">
        <v>286</v>
      </c>
      <c r="P47" s="413"/>
      <c r="Q47" s="414" t="s">
        <v>350</v>
      </c>
      <c r="R47" s="414"/>
      <c r="S47" s="414" t="s">
        <v>966</v>
      </c>
      <c r="T47" s="425" t="s">
        <v>794</v>
      </c>
      <c r="U47" s="426"/>
      <c r="V47" s="425" t="s">
        <v>794</v>
      </c>
      <c r="W47" s="425"/>
      <c r="X47" s="427"/>
      <c r="Y47" s="425"/>
      <c r="Z47" s="428"/>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3"/>
    </row>
    <row r="48" spans="1:66" s="424" customFormat="1" ht="24" x14ac:dyDescent="0.25">
      <c r="A48" s="420">
        <v>14</v>
      </c>
      <c r="B48" s="421" t="s">
        <v>174</v>
      </c>
      <c r="C48" s="414" t="s">
        <v>689</v>
      </c>
      <c r="D48" s="413" t="s">
        <v>690</v>
      </c>
      <c r="E48" s="413" t="s">
        <v>660</v>
      </c>
      <c r="F48" s="413" t="s">
        <v>677</v>
      </c>
      <c r="G48" s="413" t="s">
        <v>350</v>
      </c>
      <c r="H48" s="413" t="s">
        <v>672</v>
      </c>
      <c r="I48" s="414" t="s">
        <v>420</v>
      </c>
      <c r="J48" s="414" t="s">
        <v>350</v>
      </c>
      <c r="K48" s="414" t="s">
        <v>350</v>
      </c>
      <c r="L48" s="413" t="s">
        <v>350</v>
      </c>
      <c r="M48" s="413"/>
      <c r="N48" s="413" t="s">
        <v>285</v>
      </c>
      <c r="O48" s="413" t="s">
        <v>286</v>
      </c>
      <c r="P48" s="413"/>
      <c r="Q48" s="414" t="s">
        <v>350</v>
      </c>
      <c r="R48" s="414"/>
      <c r="S48" s="414"/>
      <c r="T48" s="425" t="s">
        <v>794</v>
      </c>
      <c r="U48" s="426"/>
      <c r="V48" s="425" t="s">
        <v>794</v>
      </c>
      <c r="W48" s="425"/>
      <c r="X48" s="427"/>
      <c r="Y48" s="425"/>
      <c r="Z48" s="428"/>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3"/>
    </row>
    <row r="49" spans="1:66" ht="36" x14ac:dyDescent="0.25">
      <c r="A49" s="94">
        <v>15</v>
      </c>
      <c r="B49" s="242" t="s">
        <v>256</v>
      </c>
      <c r="C49" s="146" t="s">
        <v>691</v>
      </c>
      <c r="D49" s="142"/>
      <c r="E49" s="142" t="s">
        <v>660</v>
      </c>
      <c r="F49" s="142" t="s">
        <v>692</v>
      </c>
      <c r="G49" s="142" t="s">
        <v>350</v>
      </c>
      <c r="H49" s="142" t="s">
        <v>279</v>
      </c>
      <c r="I49" s="146" t="s">
        <v>420</v>
      </c>
      <c r="J49" s="146" t="s">
        <v>350</v>
      </c>
      <c r="K49" s="146" t="s">
        <v>350</v>
      </c>
      <c r="L49" s="142" t="s">
        <v>350</v>
      </c>
      <c r="M49" s="142"/>
      <c r="N49" s="142" t="s">
        <v>285</v>
      </c>
      <c r="O49" s="142" t="s">
        <v>515</v>
      </c>
      <c r="P49" s="142"/>
      <c r="Q49" s="146" t="s">
        <v>350</v>
      </c>
      <c r="R49" s="146"/>
      <c r="S49" s="146" t="s">
        <v>969</v>
      </c>
      <c r="T49" s="189" t="s">
        <v>794</v>
      </c>
      <c r="U49" s="213" t="s">
        <v>794</v>
      </c>
      <c r="V49" s="189"/>
      <c r="W49" s="189"/>
      <c r="X49" s="214"/>
      <c r="Y49" s="189"/>
      <c r="Z49" s="215"/>
      <c r="AA49" s="863"/>
      <c r="AB49" s="864"/>
      <c r="AC49" s="864"/>
      <c r="AD49" s="864"/>
      <c r="AE49" s="864"/>
      <c r="AF49" s="864"/>
      <c r="AG49" s="864"/>
      <c r="AH49" s="864"/>
      <c r="AI49" s="864"/>
      <c r="AJ49" s="864"/>
      <c r="AK49" s="864"/>
      <c r="AL49" s="864"/>
      <c r="AM49" s="300"/>
      <c r="AN49" s="300"/>
      <c r="AO49" s="300"/>
      <c r="AP49" s="300"/>
      <c r="AQ49" s="300"/>
      <c r="AR49" s="300"/>
      <c r="AS49" s="45"/>
      <c r="AT49" s="45"/>
      <c r="AU49" s="45"/>
      <c r="AV49" s="45"/>
      <c r="AW49" s="45"/>
      <c r="AX49" s="45"/>
      <c r="AY49" s="45"/>
      <c r="AZ49" s="45"/>
      <c r="BA49" s="45"/>
      <c r="BB49" s="45"/>
      <c r="BC49" s="45"/>
      <c r="BD49" s="45"/>
      <c r="BE49" s="45"/>
      <c r="BF49" s="45"/>
      <c r="BG49" s="45"/>
      <c r="BH49" s="45"/>
      <c r="BI49" s="45"/>
      <c r="BJ49" s="45"/>
      <c r="BK49" s="45"/>
      <c r="BL49" s="45"/>
      <c r="BM49" s="45"/>
      <c r="BN49" s="46"/>
    </row>
    <row r="50" spans="1:66" s="287" customFormat="1" ht="48.75" x14ac:dyDescent="0.25">
      <c r="A50" s="290"/>
      <c r="B50" s="87" t="s">
        <v>257</v>
      </c>
      <c r="C50" s="141" t="s">
        <v>693</v>
      </c>
      <c r="D50" s="137" t="s">
        <v>676</v>
      </c>
      <c r="E50" s="137" t="s">
        <v>660</v>
      </c>
      <c r="F50" s="137" t="s">
        <v>692</v>
      </c>
      <c r="G50" s="137" t="s">
        <v>350</v>
      </c>
      <c r="H50" s="137" t="s">
        <v>384</v>
      </c>
      <c r="I50" s="141" t="s">
        <v>886</v>
      </c>
      <c r="J50" s="141" t="s">
        <v>297</v>
      </c>
      <c r="K50" s="141" t="s">
        <v>333</v>
      </c>
      <c r="L50" s="137" t="s">
        <v>694</v>
      </c>
      <c r="M50" s="137"/>
      <c r="N50" s="137" t="s">
        <v>285</v>
      </c>
      <c r="O50" s="137" t="s">
        <v>286</v>
      </c>
      <c r="P50" s="137" t="s">
        <v>511</v>
      </c>
      <c r="Q50" s="141" t="s">
        <v>695</v>
      </c>
      <c r="R50" s="141"/>
      <c r="S50" s="141"/>
      <c r="T50" s="189"/>
      <c r="U50" s="213"/>
      <c r="V50" s="189"/>
      <c r="W50" s="189"/>
      <c r="X50" s="214"/>
      <c r="Y50" s="189"/>
      <c r="Z50" s="215"/>
      <c r="AA50" s="828" t="s">
        <v>862</v>
      </c>
      <c r="AB50" s="833"/>
      <c r="AC50" s="833"/>
      <c r="AD50" s="833"/>
      <c r="AE50" s="833" t="s">
        <v>863</v>
      </c>
      <c r="AF50" s="833"/>
      <c r="AG50" s="833"/>
      <c r="AH50" s="833"/>
      <c r="AI50" s="833" t="s">
        <v>864</v>
      </c>
      <c r="AJ50" s="833"/>
      <c r="AK50" s="833"/>
      <c r="AL50" s="833"/>
      <c r="AM50" s="833" t="s">
        <v>865</v>
      </c>
      <c r="AN50" s="833"/>
      <c r="AO50" s="833"/>
      <c r="AP50" s="833"/>
      <c r="AQ50" s="833" t="s">
        <v>866</v>
      </c>
      <c r="AR50" s="833"/>
      <c r="AS50" s="833"/>
      <c r="AT50" s="833"/>
      <c r="AU50" s="288"/>
      <c r="AV50" s="288"/>
      <c r="AW50" s="288"/>
      <c r="AX50" s="288"/>
      <c r="AY50" s="288"/>
      <c r="AZ50" s="288"/>
      <c r="BA50" s="288"/>
      <c r="BB50" s="288"/>
      <c r="BC50" s="288"/>
      <c r="BD50" s="288"/>
      <c r="BE50" s="288"/>
      <c r="BF50" s="288"/>
      <c r="BG50" s="288"/>
      <c r="BH50" s="288"/>
      <c r="BI50" s="288"/>
      <c r="BJ50" s="288"/>
      <c r="BK50" s="288"/>
      <c r="BL50" s="288"/>
      <c r="BM50" s="288"/>
      <c r="BN50" s="289"/>
    </row>
    <row r="51" spans="1:66" s="287" customFormat="1" ht="15.75" x14ac:dyDescent="0.25">
      <c r="A51" s="290"/>
      <c r="C51" s="141"/>
      <c r="D51" s="137"/>
      <c r="E51" s="137"/>
      <c r="F51" s="137"/>
      <c r="G51" s="137"/>
      <c r="H51" s="137"/>
      <c r="I51" s="141"/>
      <c r="J51" s="141"/>
      <c r="K51" s="141"/>
      <c r="L51" s="137"/>
      <c r="M51" s="137"/>
      <c r="N51" s="137"/>
      <c r="O51" s="137"/>
      <c r="P51" s="137"/>
      <c r="Q51" s="141"/>
      <c r="R51" s="141"/>
      <c r="S51" s="141"/>
      <c r="T51" s="189"/>
      <c r="U51" s="213"/>
      <c r="V51" s="189"/>
      <c r="W51" s="189"/>
      <c r="X51" s="214"/>
      <c r="Y51" s="189"/>
      <c r="Z51" s="215"/>
      <c r="AA51" s="696">
        <v>2010</v>
      </c>
      <c r="AB51" s="713">
        <v>2011</v>
      </c>
      <c r="AC51" s="713">
        <v>2012</v>
      </c>
      <c r="AD51" s="713">
        <v>2013</v>
      </c>
      <c r="AE51" s="713">
        <v>2010</v>
      </c>
      <c r="AF51" s="713">
        <v>2011</v>
      </c>
      <c r="AG51" s="713">
        <v>2012</v>
      </c>
      <c r="AH51" s="713">
        <v>2013</v>
      </c>
      <c r="AI51" s="713">
        <v>2010</v>
      </c>
      <c r="AJ51" s="713">
        <v>2011</v>
      </c>
      <c r="AK51" s="713">
        <v>2012</v>
      </c>
      <c r="AL51" s="713">
        <v>2013</v>
      </c>
      <c r="AM51" s="713">
        <v>2010</v>
      </c>
      <c r="AN51" s="713">
        <v>2011</v>
      </c>
      <c r="AO51" s="713">
        <v>2012</v>
      </c>
      <c r="AP51" s="713">
        <v>2013</v>
      </c>
      <c r="AQ51" s="713">
        <v>2010</v>
      </c>
      <c r="AR51" s="713">
        <v>2011</v>
      </c>
      <c r="AS51" s="713">
        <v>2012</v>
      </c>
      <c r="AT51" s="713">
        <v>2013</v>
      </c>
      <c r="AU51" s="288"/>
      <c r="AV51" s="288"/>
      <c r="AW51" s="288"/>
      <c r="AX51" s="288"/>
      <c r="AY51" s="288"/>
      <c r="AZ51" s="288"/>
      <c r="BA51" s="288"/>
      <c r="BB51" s="288"/>
      <c r="BC51" s="288"/>
      <c r="BD51" s="288"/>
      <c r="BE51" s="288"/>
      <c r="BF51" s="288"/>
      <c r="BG51" s="288"/>
      <c r="BH51" s="288"/>
      <c r="BI51" s="288"/>
      <c r="BJ51" s="288"/>
      <c r="BK51" s="288"/>
      <c r="BL51" s="288"/>
      <c r="BM51" s="288"/>
      <c r="BN51" s="289"/>
    </row>
    <row r="52" spans="1:66" s="287" customFormat="1" ht="15.75" x14ac:dyDescent="0.25">
      <c r="A52" s="290"/>
      <c r="B52" s="269" t="s">
        <v>3</v>
      </c>
      <c r="C52" s="141"/>
      <c r="D52" s="137"/>
      <c r="E52" s="137"/>
      <c r="F52" s="137"/>
      <c r="G52" s="137"/>
      <c r="H52" s="137"/>
      <c r="I52" s="141"/>
      <c r="J52" s="141"/>
      <c r="K52" s="141"/>
      <c r="L52" s="137"/>
      <c r="M52" s="137"/>
      <c r="N52" s="137"/>
      <c r="O52" s="137"/>
      <c r="P52" s="137"/>
      <c r="Q52" s="141"/>
      <c r="R52" s="141"/>
      <c r="S52" s="141"/>
      <c r="T52" s="189"/>
      <c r="U52" s="213"/>
      <c r="V52" s="189"/>
      <c r="W52" s="189"/>
      <c r="X52" s="214"/>
      <c r="Y52" s="189"/>
      <c r="Z52" s="215"/>
      <c r="AA52" s="455">
        <v>864750.64325201698</v>
      </c>
      <c r="AB52" s="455">
        <v>895534.49594345305</v>
      </c>
      <c r="AC52" s="455">
        <v>926287.57895249396</v>
      </c>
      <c r="AD52" s="377">
        <v>946452.24895189796</v>
      </c>
      <c r="AE52" s="325">
        <v>370818.93836158398</v>
      </c>
      <c r="AF52" s="325">
        <v>371961.290141679</v>
      </c>
      <c r="AG52" s="325">
        <v>381104.347313523</v>
      </c>
      <c r="AH52" s="325">
        <v>384412.564810613</v>
      </c>
      <c r="AI52" s="454">
        <v>68465.586885842393</v>
      </c>
      <c r="AJ52" s="455">
        <v>72129.674600420694</v>
      </c>
      <c r="AK52" s="455">
        <v>77482.419894278195</v>
      </c>
      <c r="AL52" s="377">
        <v>79085.498929109293</v>
      </c>
      <c r="AM52" s="325">
        <v>27523.832391398199</v>
      </c>
      <c r="AN52" s="325">
        <v>24523.8441294554</v>
      </c>
      <c r="AO52" s="325">
        <v>23275.955034577099</v>
      </c>
      <c r="AP52" s="325">
        <v>20874.682935471599</v>
      </c>
      <c r="AQ52" s="454">
        <v>30237.9501150258</v>
      </c>
      <c r="AR52" s="455">
        <v>33667.529778900302</v>
      </c>
      <c r="AS52" s="455">
        <v>36451.8567942355</v>
      </c>
      <c r="AT52" s="377">
        <v>40424.382376632799</v>
      </c>
      <c r="AU52" s="288"/>
      <c r="AV52" s="288"/>
      <c r="AW52" s="288"/>
      <c r="AX52" s="288"/>
      <c r="AY52" s="288"/>
      <c r="AZ52" s="288"/>
      <c r="BA52" s="288"/>
      <c r="BB52" s="288"/>
      <c r="BC52" s="288"/>
      <c r="BD52" s="288"/>
      <c r="BE52" s="288"/>
      <c r="BF52" s="288"/>
      <c r="BG52" s="288"/>
      <c r="BH52" s="288"/>
      <c r="BI52" s="288"/>
      <c r="BJ52" s="288"/>
      <c r="BK52" s="288"/>
      <c r="BL52" s="288"/>
      <c r="BM52" s="288"/>
      <c r="BN52" s="289"/>
    </row>
    <row r="53" spans="1:66" s="194" customFormat="1" ht="15.75" x14ac:dyDescent="0.25">
      <c r="A53" s="749"/>
      <c r="B53" s="470" t="s">
        <v>4</v>
      </c>
      <c r="C53" s="141"/>
      <c r="D53" s="137"/>
      <c r="E53" s="137"/>
      <c r="F53" s="137"/>
      <c r="G53" s="137"/>
      <c r="H53" s="137"/>
      <c r="I53" s="141"/>
      <c r="J53" s="141"/>
      <c r="K53" s="141"/>
      <c r="L53" s="137"/>
      <c r="M53" s="137"/>
      <c r="N53" s="137"/>
      <c r="O53" s="137"/>
      <c r="P53" s="137"/>
      <c r="Q53" s="141"/>
      <c r="R53" s="141"/>
      <c r="S53" s="141"/>
      <c r="T53" s="189"/>
      <c r="U53" s="213"/>
      <c r="V53" s="189"/>
      <c r="W53" s="189"/>
      <c r="X53" s="214"/>
      <c r="Y53" s="189"/>
      <c r="Z53" s="215"/>
      <c r="AA53" s="457">
        <v>539828.59574079094</v>
      </c>
      <c r="AB53" s="457">
        <v>567560.86717267509</v>
      </c>
      <c r="AC53" s="457">
        <v>606958.16408443358</v>
      </c>
      <c r="AD53" s="378">
        <v>619654.36795791681</v>
      </c>
      <c r="AE53" s="325">
        <v>217754.03079502229</v>
      </c>
      <c r="AF53" s="325">
        <v>218242.72042466784</v>
      </c>
      <c r="AG53" s="325">
        <v>225897.21294324895</v>
      </c>
      <c r="AH53" s="325">
        <v>223094.65119975316</v>
      </c>
      <c r="AI53" s="456">
        <v>39920.826151691748</v>
      </c>
      <c r="AJ53" s="457">
        <v>39051.626622513118</v>
      </c>
      <c r="AK53" s="457">
        <v>39425.363632579763</v>
      </c>
      <c r="AL53" s="378">
        <v>36728.280763549417</v>
      </c>
      <c r="AM53" s="325">
        <v>24247.825482610791</v>
      </c>
      <c r="AN53" s="325">
        <v>18434.357770308132</v>
      </c>
      <c r="AO53" s="325">
        <v>13494.987055184383</v>
      </c>
      <c r="AP53" s="325">
        <v>9074.1798519372951</v>
      </c>
      <c r="AQ53" s="456">
        <v>44936.140389405999</v>
      </c>
      <c r="AR53" s="457">
        <v>50191.195130222797</v>
      </c>
      <c r="AS53" s="457">
        <v>55472.013802899404</v>
      </c>
      <c r="AT53" s="378">
        <v>61032.250841827161</v>
      </c>
      <c r="AU53" s="171"/>
      <c r="AV53" s="171"/>
      <c r="AW53" s="171"/>
      <c r="AX53" s="171"/>
      <c r="AY53" s="171"/>
      <c r="AZ53" s="171"/>
      <c r="BA53" s="171"/>
      <c r="BB53" s="171"/>
      <c r="BC53" s="171"/>
      <c r="BD53" s="171"/>
      <c r="BE53" s="171"/>
      <c r="BF53" s="171"/>
      <c r="BG53" s="171"/>
      <c r="BH53" s="171"/>
      <c r="BI53" s="171"/>
      <c r="BJ53" s="171"/>
      <c r="BK53" s="171"/>
      <c r="BL53" s="171"/>
      <c r="BM53" s="171"/>
      <c r="BN53" s="750"/>
    </row>
    <row r="54" spans="1:66" s="287" customFormat="1" ht="15.75" x14ac:dyDescent="0.25">
      <c r="A54" s="290"/>
      <c r="B54" s="269" t="s">
        <v>5</v>
      </c>
      <c r="C54" s="141"/>
      <c r="D54" s="137"/>
      <c r="E54" s="137"/>
      <c r="F54" s="137"/>
      <c r="G54" s="137"/>
      <c r="H54" s="137"/>
      <c r="I54" s="141"/>
      <c r="J54" s="141"/>
      <c r="K54" s="141"/>
      <c r="L54" s="137"/>
      <c r="M54" s="137"/>
      <c r="N54" s="137"/>
      <c r="O54" s="137"/>
      <c r="P54" s="137"/>
      <c r="Q54" s="141"/>
      <c r="R54" s="141"/>
      <c r="S54" s="141"/>
      <c r="T54" s="189"/>
      <c r="U54" s="213"/>
      <c r="V54" s="189"/>
      <c r="W54" s="189"/>
      <c r="X54" s="214"/>
      <c r="Y54" s="189"/>
      <c r="Z54" s="215"/>
      <c r="AA54" s="457">
        <v>807602.92861272604</v>
      </c>
      <c r="AB54" s="457">
        <v>823633.43995267502</v>
      </c>
      <c r="AC54" s="457">
        <v>842970.47144828399</v>
      </c>
      <c r="AD54" s="378">
        <v>862158.71005637501</v>
      </c>
      <c r="AE54" s="325">
        <v>127990.286106207</v>
      </c>
      <c r="AF54" s="325">
        <v>124620.22177484199</v>
      </c>
      <c r="AG54" s="325">
        <v>125970.680129032</v>
      </c>
      <c r="AH54" s="325">
        <v>127727.00869596101</v>
      </c>
      <c r="AI54" s="456">
        <v>69113.183127046199</v>
      </c>
      <c r="AJ54" s="457">
        <v>73757.582928035103</v>
      </c>
      <c r="AK54" s="457">
        <v>75988.726912222206</v>
      </c>
      <c r="AL54" s="378">
        <v>77367.603840600699</v>
      </c>
      <c r="AM54" s="325">
        <v>28838.9769521212</v>
      </c>
      <c r="AN54" s="325">
        <v>25982.006558417699</v>
      </c>
      <c r="AO54" s="325">
        <v>24439.547365509901</v>
      </c>
      <c r="AP54" s="325">
        <v>23192.461165242101</v>
      </c>
      <c r="AQ54" s="456">
        <v>8556.8132368891002</v>
      </c>
      <c r="AR54" s="457">
        <v>9772.9641839882206</v>
      </c>
      <c r="AS54" s="457">
        <v>10703.7407136245</v>
      </c>
      <c r="AT54" s="378">
        <v>11643.173214729901</v>
      </c>
      <c r="AU54" s="288"/>
      <c r="AV54" s="288"/>
      <c r="AW54" s="288"/>
      <c r="AX54" s="288"/>
      <c r="AY54" s="288"/>
      <c r="AZ54" s="288"/>
      <c r="BA54" s="288"/>
      <c r="BB54" s="288"/>
      <c r="BC54" s="288"/>
      <c r="BD54" s="288"/>
      <c r="BE54" s="288"/>
      <c r="BF54" s="288"/>
      <c r="BG54" s="288"/>
      <c r="BH54" s="288"/>
      <c r="BI54" s="288"/>
      <c r="BJ54" s="288"/>
      <c r="BK54" s="288"/>
      <c r="BL54" s="288"/>
      <c r="BM54" s="288"/>
      <c r="BN54" s="289"/>
    </row>
    <row r="55" spans="1:66" s="287" customFormat="1" ht="15.75" x14ac:dyDescent="0.25">
      <c r="A55" s="290"/>
      <c r="B55" s="269" t="s">
        <v>251</v>
      </c>
      <c r="C55" s="141"/>
      <c r="D55" s="137"/>
      <c r="E55" s="137"/>
      <c r="F55" s="137"/>
      <c r="G55" s="137"/>
      <c r="H55" s="137"/>
      <c r="I55" s="141"/>
      <c r="J55" s="141"/>
      <c r="K55" s="141"/>
      <c r="L55" s="137"/>
      <c r="M55" s="137"/>
      <c r="N55" s="137"/>
      <c r="O55" s="137"/>
      <c r="P55" s="137"/>
      <c r="Q55" s="141"/>
      <c r="R55" s="141"/>
      <c r="S55" s="141"/>
      <c r="T55" s="189"/>
      <c r="U55" s="213"/>
      <c r="V55" s="189"/>
      <c r="W55" s="189"/>
      <c r="X55" s="214"/>
      <c r="Y55" s="189"/>
      <c r="Z55" s="215"/>
      <c r="AA55" s="457">
        <v>553503.44948211301</v>
      </c>
      <c r="AB55" s="457">
        <v>559003.76156118605</v>
      </c>
      <c r="AC55" s="457">
        <v>568309.71369230095</v>
      </c>
      <c r="AD55" s="378">
        <v>563250.281959933</v>
      </c>
      <c r="AE55" s="325">
        <v>198895.151630612</v>
      </c>
      <c r="AF55" s="325">
        <v>200870.60813679799</v>
      </c>
      <c r="AG55" s="325">
        <v>206514.79609932899</v>
      </c>
      <c r="AH55" s="325">
        <v>202012.333455627</v>
      </c>
      <c r="AI55" s="456">
        <v>91473.239622031295</v>
      </c>
      <c r="AJ55" s="457">
        <v>90438.807109308196</v>
      </c>
      <c r="AK55" s="457">
        <v>95689.4426815724</v>
      </c>
      <c r="AL55" s="378">
        <v>96782.587129944994</v>
      </c>
      <c r="AM55" s="325">
        <v>69383.906611652594</v>
      </c>
      <c r="AN55" s="325">
        <v>63509.999659034002</v>
      </c>
      <c r="AO55" s="325">
        <v>60272.050400860498</v>
      </c>
      <c r="AP55" s="325">
        <v>52982.575838667799</v>
      </c>
      <c r="AQ55" s="456">
        <v>50546.166603656297</v>
      </c>
      <c r="AR55" s="457">
        <v>53984.109690150399</v>
      </c>
      <c r="AS55" s="457">
        <v>58063.209325693497</v>
      </c>
      <c r="AT55" s="378">
        <v>59378.098566941502</v>
      </c>
      <c r="AU55" s="288"/>
      <c r="AV55" s="288"/>
      <c r="AW55" s="288"/>
      <c r="AX55" s="288"/>
      <c r="AY55" s="288"/>
      <c r="AZ55" s="288"/>
      <c r="BA55" s="288"/>
      <c r="BB55" s="288"/>
      <c r="BC55" s="288"/>
      <c r="BD55" s="288"/>
      <c r="BE55" s="288"/>
      <c r="BF55" s="288"/>
      <c r="BG55" s="288"/>
      <c r="BH55" s="288"/>
      <c r="BI55" s="288"/>
      <c r="BJ55" s="288"/>
      <c r="BK55" s="288"/>
      <c r="BL55" s="288"/>
      <c r="BM55" s="288"/>
      <c r="BN55" s="289"/>
    </row>
    <row r="56" spans="1:66" s="287" customFormat="1" ht="15.75" x14ac:dyDescent="0.25">
      <c r="A56" s="290"/>
      <c r="B56" s="269" t="s">
        <v>252</v>
      </c>
      <c r="C56" s="141"/>
      <c r="D56" s="137"/>
      <c r="E56" s="137"/>
      <c r="F56" s="137"/>
      <c r="G56" s="137"/>
      <c r="H56" s="137"/>
      <c r="I56" s="141"/>
      <c r="J56" s="141"/>
      <c r="K56" s="141"/>
      <c r="L56" s="137"/>
      <c r="M56" s="137"/>
      <c r="N56" s="137"/>
      <c r="O56" s="137"/>
      <c r="P56" s="137"/>
      <c r="Q56" s="141"/>
      <c r="R56" s="141"/>
      <c r="S56" s="141"/>
      <c r="T56" s="189"/>
      <c r="U56" s="213"/>
      <c r="V56" s="189"/>
      <c r="W56" s="189"/>
      <c r="X56" s="214"/>
      <c r="Y56" s="189"/>
      <c r="Z56" s="215"/>
      <c r="AA56" s="457">
        <v>549065.343296404</v>
      </c>
      <c r="AB56" s="457">
        <v>565809.70828058699</v>
      </c>
      <c r="AC56" s="457">
        <v>560032.16614073701</v>
      </c>
      <c r="AD56" s="378">
        <v>592339.11599608499</v>
      </c>
      <c r="AE56" s="325">
        <v>293478.61802285298</v>
      </c>
      <c r="AF56" s="325">
        <v>294153.57091160398</v>
      </c>
      <c r="AG56" s="325">
        <v>289525.335728526</v>
      </c>
      <c r="AH56" s="325">
        <v>303567.22828748601</v>
      </c>
      <c r="AI56" s="456">
        <v>68368.058034862799</v>
      </c>
      <c r="AJ56" s="457">
        <v>72453.770936911693</v>
      </c>
      <c r="AK56" s="457">
        <v>74633.042344957197</v>
      </c>
      <c r="AL56" s="378">
        <v>78724.628073760105</v>
      </c>
      <c r="AM56" s="325">
        <v>39649.128232616597</v>
      </c>
      <c r="AN56" s="325">
        <v>37866.758282014103</v>
      </c>
      <c r="AO56" s="325">
        <v>36959.918435820699</v>
      </c>
      <c r="AP56" s="325">
        <v>36943.907983758603</v>
      </c>
      <c r="AQ56" s="456">
        <v>19223.9838012031</v>
      </c>
      <c r="AR56" s="457">
        <v>21719.6223032175</v>
      </c>
      <c r="AS56" s="457">
        <v>22898.4240475804</v>
      </c>
      <c r="AT56" s="378">
        <v>26692.110836745898</v>
      </c>
      <c r="AU56" s="288"/>
      <c r="AV56" s="288"/>
      <c r="AW56" s="288"/>
      <c r="AX56" s="288"/>
      <c r="AY56" s="288"/>
      <c r="AZ56" s="288"/>
      <c r="BA56" s="288"/>
      <c r="BB56" s="288"/>
      <c r="BC56" s="288"/>
      <c r="BD56" s="288"/>
      <c r="BE56" s="288"/>
      <c r="BF56" s="288"/>
      <c r="BG56" s="288"/>
      <c r="BH56" s="288"/>
      <c r="BI56" s="288"/>
      <c r="BJ56" s="288"/>
      <c r="BK56" s="288"/>
      <c r="BL56" s="288"/>
      <c r="BM56" s="288"/>
      <c r="BN56" s="289"/>
    </row>
    <row r="57" spans="1:66" s="194" customFormat="1" ht="15.75" x14ac:dyDescent="0.25">
      <c r="A57" s="749"/>
      <c r="B57" s="470" t="s">
        <v>6</v>
      </c>
      <c r="C57" s="141"/>
      <c r="D57" s="137"/>
      <c r="E57" s="137"/>
      <c r="F57" s="137"/>
      <c r="G57" s="137"/>
      <c r="H57" s="137"/>
      <c r="I57" s="141"/>
      <c r="J57" s="141"/>
      <c r="K57" s="141"/>
      <c r="L57" s="137"/>
      <c r="M57" s="137"/>
      <c r="N57" s="137"/>
      <c r="O57" s="137"/>
      <c r="P57" s="137"/>
      <c r="Q57" s="141"/>
      <c r="R57" s="141"/>
      <c r="S57" s="141"/>
      <c r="T57" s="189"/>
      <c r="U57" s="213"/>
      <c r="V57" s="189"/>
      <c r="W57" s="189"/>
      <c r="X57" s="214"/>
      <c r="Y57" s="189"/>
      <c r="Z57" s="215"/>
      <c r="AA57" s="457">
        <v>241092.686728411</v>
      </c>
      <c r="AB57" s="457">
        <v>249145.901350659</v>
      </c>
      <c r="AC57" s="457">
        <v>248636.87326473801</v>
      </c>
      <c r="AD57" s="378">
        <v>250312.47528553801</v>
      </c>
      <c r="AE57" s="325">
        <v>59872.001557762902</v>
      </c>
      <c r="AF57" s="325">
        <v>56254.971933403802</v>
      </c>
      <c r="AG57" s="325">
        <v>52343.612419735102</v>
      </c>
      <c r="AH57" s="325">
        <v>50054.994971059597</v>
      </c>
      <c r="AI57" s="456">
        <v>25066.986920814299</v>
      </c>
      <c r="AJ57" s="457">
        <v>26153.3677405624</v>
      </c>
      <c r="AK57" s="457">
        <v>27879.221841487299</v>
      </c>
      <c r="AL57" s="378">
        <v>29805.870276489401</v>
      </c>
      <c r="AM57" s="325">
        <v>15420.2250386628</v>
      </c>
      <c r="AN57" s="325">
        <v>13014.804378577401</v>
      </c>
      <c r="AO57" s="325">
        <v>10377.386271253699</v>
      </c>
      <c r="AP57" s="325">
        <v>8191.6464925703604</v>
      </c>
      <c r="AQ57" s="456">
        <v>6240.0193644680603</v>
      </c>
      <c r="AR57" s="457">
        <v>6569.7308733174305</v>
      </c>
      <c r="AS57" s="457">
        <v>6771.9854351448603</v>
      </c>
      <c r="AT57" s="378">
        <v>7332.4462734899798</v>
      </c>
      <c r="AU57" s="171"/>
      <c r="AV57" s="171"/>
      <c r="AW57" s="171"/>
      <c r="AX57" s="171"/>
      <c r="AY57" s="171"/>
      <c r="AZ57" s="171"/>
      <c r="BA57" s="171"/>
      <c r="BB57" s="171"/>
      <c r="BC57" s="171"/>
      <c r="BD57" s="171"/>
      <c r="BE57" s="171"/>
      <c r="BF57" s="171"/>
      <c r="BG57" s="171"/>
      <c r="BH57" s="171"/>
      <c r="BI57" s="171"/>
      <c r="BJ57" s="171"/>
      <c r="BK57" s="171"/>
      <c r="BL57" s="171"/>
      <c r="BM57" s="171"/>
      <c r="BN57" s="750"/>
    </row>
    <row r="58" spans="1:66" s="194" customFormat="1" ht="15.75" x14ac:dyDescent="0.25">
      <c r="A58" s="749"/>
      <c r="B58" s="470" t="s">
        <v>8</v>
      </c>
      <c r="C58" s="141"/>
      <c r="D58" s="137"/>
      <c r="E58" s="137"/>
      <c r="F58" s="137"/>
      <c r="G58" s="137"/>
      <c r="H58" s="137"/>
      <c r="I58" s="141"/>
      <c r="J58" s="141"/>
      <c r="K58" s="141"/>
      <c r="L58" s="137"/>
      <c r="M58" s="137"/>
      <c r="N58" s="137"/>
      <c r="O58" s="137"/>
      <c r="P58" s="137"/>
      <c r="Q58" s="141"/>
      <c r="R58" s="141"/>
      <c r="S58" s="141"/>
      <c r="T58" s="189"/>
      <c r="U58" s="213"/>
      <c r="V58" s="189"/>
      <c r="W58" s="189"/>
      <c r="X58" s="214"/>
      <c r="Y58" s="189"/>
      <c r="Z58" s="215"/>
      <c r="AA58" s="457">
        <v>111610.90240799</v>
      </c>
      <c r="AB58" s="457">
        <v>114594.793986326</v>
      </c>
      <c r="AC58" s="457">
        <v>117436.954028108</v>
      </c>
      <c r="AD58" s="378">
        <v>119129.84716847001</v>
      </c>
      <c r="AE58" s="325">
        <v>40838.3567835473</v>
      </c>
      <c r="AF58" s="325">
        <v>38640.834176655</v>
      </c>
      <c r="AG58" s="325">
        <v>37127.943966863102</v>
      </c>
      <c r="AH58" s="325">
        <v>35658.037183949302</v>
      </c>
      <c r="AI58" s="456">
        <v>48241.720114550502</v>
      </c>
      <c r="AJ58" s="457">
        <v>50891.855772977797</v>
      </c>
      <c r="AK58" s="457">
        <v>54904.330546746402</v>
      </c>
      <c r="AL58" s="378">
        <v>58407.417798298302</v>
      </c>
      <c r="AM58" s="325">
        <v>26031.458867380701</v>
      </c>
      <c r="AN58" s="325">
        <v>23478.274073357799</v>
      </c>
      <c r="AO58" s="325">
        <v>20223.744115483099</v>
      </c>
      <c r="AP58" s="325">
        <v>17119.666879992899</v>
      </c>
      <c r="AQ58" s="456">
        <v>11670.967669694201</v>
      </c>
      <c r="AR58" s="457">
        <v>11992.2043814673</v>
      </c>
      <c r="AS58" s="457">
        <v>12242.752209480101</v>
      </c>
      <c r="AT58" s="378">
        <v>13017.333292715501</v>
      </c>
      <c r="AU58" s="171"/>
      <c r="AV58" s="171"/>
      <c r="AW58" s="171"/>
      <c r="AX58" s="171"/>
      <c r="AY58" s="171"/>
      <c r="AZ58" s="171"/>
      <c r="BA58" s="171"/>
      <c r="BB58" s="171"/>
      <c r="BC58" s="171"/>
      <c r="BD58" s="171"/>
      <c r="BE58" s="171"/>
      <c r="BF58" s="171"/>
      <c r="BG58" s="171"/>
      <c r="BH58" s="171"/>
      <c r="BI58" s="171"/>
      <c r="BJ58" s="171"/>
      <c r="BK58" s="171"/>
      <c r="BL58" s="171"/>
      <c r="BM58" s="171"/>
      <c r="BN58" s="750"/>
    </row>
    <row r="59" spans="1:66" s="194" customFormat="1" ht="15.75" x14ac:dyDescent="0.25">
      <c r="A59" s="749"/>
      <c r="B59" s="470" t="s">
        <v>7</v>
      </c>
      <c r="C59" s="141"/>
      <c r="D59" s="137"/>
      <c r="E59" s="137"/>
      <c r="F59" s="137"/>
      <c r="G59" s="137"/>
      <c r="H59" s="137"/>
      <c r="I59" s="141"/>
      <c r="J59" s="141"/>
      <c r="K59" s="141"/>
      <c r="L59" s="137"/>
      <c r="M59" s="137"/>
      <c r="N59" s="137"/>
      <c r="O59" s="137"/>
      <c r="P59" s="137"/>
      <c r="Q59" s="141"/>
      <c r="R59" s="141"/>
      <c r="S59" s="141"/>
      <c r="T59" s="189"/>
      <c r="U59" s="213"/>
      <c r="V59" s="189"/>
      <c r="W59" s="189"/>
      <c r="X59" s="214"/>
      <c r="Y59" s="189"/>
      <c r="Z59" s="215"/>
      <c r="AA59" s="457">
        <v>105810.344958282</v>
      </c>
      <c r="AB59" s="457">
        <v>108843.853421044</v>
      </c>
      <c r="AC59" s="457">
        <v>112345.71913518599</v>
      </c>
      <c r="AD59" s="378">
        <v>115099.059039595</v>
      </c>
      <c r="AE59" s="325">
        <v>96561.815674006706</v>
      </c>
      <c r="AF59" s="325">
        <v>98074.447732942106</v>
      </c>
      <c r="AG59" s="325">
        <v>101478.37094102699</v>
      </c>
      <c r="AH59" s="325">
        <v>106106.25440659899</v>
      </c>
      <c r="AI59" s="456">
        <v>15170.361820947001</v>
      </c>
      <c r="AJ59" s="457">
        <v>15556.336699066</v>
      </c>
      <c r="AK59" s="457">
        <v>16073.268814751</v>
      </c>
      <c r="AL59" s="378">
        <v>16565.829566679298</v>
      </c>
      <c r="AM59" s="325">
        <v>7577.2429443359397</v>
      </c>
      <c r="AN59" s="325">
        <v>6157.0103925444801</v>
      </c>
      <c r="AO59" s="325">
        <v>5011.0405016075201</v>
      </c>
      <c r="AP59" s="325">
        <v>3963.79907625431</v>
      </c>
      <c r="AQ59" s="456">
        <v>6935.4505275492702</v>
      </c>
      <c r="AR59" s="457">
        <v>7704.89560094226</v>
      </c>
      <c r="AS59" s="457">
        <v>8219.5235064088101</v>
      </c>
      <c r="AT59" s="378">
        <v>8879.7811505253394</v>
      </c>
      <c r="AU59" s="171"/>
      <c r="AV59" s="171"/>
      <c r="AW59" s="171"/>
      <c r="AX59" s="171"/>
      <c r="AY59" s="171"/>
      <c r="AZ59" s="171"/>
      <c r="BA59" s="171"/>
      <c r="BB59" s="171"/>
      <c r="BC59" s="171"/>
      <c r="BD59" s="171"/>
      <c r="BE59" s="171"/>
      <c r="BF59" s="171"/>
      <c r="BG59" s="171"/>
      <c r="BH59" s="171"/>
      <c r="BI59" s="171"/>
      <c r="BJ59" s="171"/>
      <c r="BK59" s="171"/>
      <c r="BL59" s="171"/>
      <c r="BM59" s="171"/>
      <c r="BN59" s="750"/>
    </row>
    <row r="60" spans="1:66" s="194" customFormat="1" ht="15.75" x14ac:dyDescent="0.25">
      <c r="A60" s="749"/>
      <c r="B60" s="270" t="s">
        <v>800</v>
      </c>
      <c r="C60" s="141"/>
      <c r="D60" s="137"/>
      <c r="E60" s="137"/>
      <c r="F60" s="137"/>
      <c r="G60" s="137"/>
      <c r="H60" s="137"/>
      <c r="I60" s="141"/>
      <c r="J60" s="141"/>
      <c r="K60" s="141"/>
      <c r="L60" s="137"/>
      <c r="M60" s="137"/>
      <c r="N60" s="137"/>
      <c r="O60" s="137"/>
      <c r="P60" s="137"/>
      <c r="Q60" s="141"/>
      <c r="R60" s="141"/>
      <c r="S60" s="141"/>
      <c r="T60" s="189"/>
      <c r="U60" s="213"/>
      <c r="V60" s="189"/>
      <c r="W60" s="189"/>
      <c r="X60" s="214"/>
      <c r="Y60" s="189"/>
      <c r="Z60" s="215"/>
      <c r="AA60" s="457">
        <v>75591.754027861796</v>
      </c>
      <c r="AB60" s="457">
        <v>76032.031014636596</v>
      </c>
      <c r="AC60" s="457">
        <v>75558.759475958999</v>
      </c>
      <c r="AD60" s="457">
        <v>76384.119289553404</v>
      </c>
      <c r="AE60" s="325">
        <v>62214.712990214801</v>
      </c>
      <c r="AF60" s="325">
        <v>64425.068508596298</v>
      </c>
      <c r="AG60" s="325">
        <v>65880.779110495598</v>
      </c>
      <c r="AH60" s="325">
        <v>69182.806905356701</v>
      </c>
      <c r="AI60" s="456">
        <v>7433.67135096321</v>
      </c>
      <c r="AJ60" s="457">
        <v>6972.3557521800703</v>
      </c>
      <c r="AK60" s="457">
        <v>7672.4699722859395</v>
      </c>
      <c r="AL60" s="378">
        <v>8836.2203181176901</v>
      </c>
      <c r="AM60" s="325">
        <v>9016.4351198837394</v>
      </c>
      <c r="AN60" s="325">
        <v>8069.7797781645404</v>
      </c>
      <c r="AO60" s="325">
        <v>7382.8900823496697</v>
      </c>
      <c r="AP60" s="325">
        <v>6936.5436331833998</v>
      </c>
      <c r="AQ60" s="456">
        <v>9695.8657509267505</v>
      </c>
      <c r="AR60" s="457">
        <v>10173.5616206633</v>
      </c>
      <c r="AS60" s="457">
        <v>9977.7338815235198</v>
      </c>
      <c r="AT60" s="378">
        <v>10151.167708429</v>
      </c>
      <c r="AU60" s="171"/>
      <c r="AV60" s="171"/>
      <c r="AW60" s="171"/>
      <c r="AX60" s="171"/>
      <c r="AY60" s="171"/>
      <c r="AZ60" s="171"/>
      <c r="BA60" s="171"/>
      <c r="BB60" s="171"/>
      <c r="BC60" s="171"/>
      <c r="BD60" s="171"/>
      <c r="BE60" s="171"/>
      <c r="BF60" s="171"/>
      <c r="BG60" s="171"/>
      <c r="BH60" s="171"/>
      <c r="BI60" s="171"/>
      <c r="BJ60" s="171"/>
      <c r="BK60" s="171"/>
      <c r="BL60" s="171"/>
      <c r="BM60" s="171"/>
      <c r="BN60" s="750"/>
    </row>
    <row r="61" spans="1:66" s="287" customFormat="1" ht="15.75" x14ac:dyDescent="0.25">
      <c r="A61" s="290"/>
      <c r="B61" s="270"/>
      <c r="C61" s="141"/>
      <c r="D61" s="137"/>
      <c r="E61" s="137"/>
      <c r="F61" s="137"/>
      <c r="G61" s="137"/>
      <c r="H61" s="137"/>
      <c r="I61" s="141"/>
      <c r="J61" s="141"/>
      <c r="K61" s="141"/>
      <c r="L61" s="137"/>
      <c r="M61" s="137"/>
      <c r="N61" s="137"/>
      <c r="O61" s="137"/>
      <c r="P61" s="137"/>
      <c r="Q61" s="141"/>
      <c r="R61" s="141"/>
      <c r="S61" s="141"/>
      <c r="T61" s="189"/>
      <c r="U61" s="213"/>
      <c r="V61" s="189"/>
      <c r="W61" s="189"/>
      <c r="X61" s="214"/>
      <c r="Y61" s="189"/>
      <c r="Z61" s="215"/>
      <c r="AA61" s="459"/>
      <c r="AB61" s="459"/>
      <c r="AC61" s="459"/>
      <c r="AD61" s="388"/>
      <c r="AE61" s="325"/>
      <c r="AF61" s="325"/>
      <c r="AG61" s="325"/>
      <c r="AH61" s="325"/>
      <c r="AI61" s="458"/>
      <c r="AJ61" s="459"/>
      <c r="AK61" s="459"/>
      <c r="AL61" s="388"/>
      <c r="AM61" s="325"/>
      <c r="AN61" s="325"/>
      <c r="AO61" s="325"/>
      <c r="AP61" s="325"/>
      <c r="AQ61" s="458"/>
      <c r="AR61" s="459"/>
      <c r="AS61" s="459"/>
      <c r="AT61" s="388"/>
      <c r="AU61" s="288"/>
      <c r="AV61" s="288"/>
      <c r="AW61" s="288"/>
      <c r="AX61" s="288"/>
      <c r="AY61" s="288"/>
      <c r="AZ61" s="288"/>
      <c r="BA61" s="288"/>
      <c r="BB61" s="288"/>
      <c r="BC61" s="288"/>
      <c r="BD61" s="288"/>
      <c r="BE61" s="288"/>
      <c r="BF61" s="288"/>
      <c r="BG61" s="288"/>
      <c r="BH61" s="288"/>
      <c r="BI61" s="288"/>
      <c r="BJ61" s="288"/>
      <c r="BK61" s="288"/>
      <c r="BL61" s="288"/>
      <c r="BM61" s="288"/>
      <c r="BN61" s="289"/>
    </row>
    <row r="62" spans="1:66" s="287" customFormat="1" ht="48" x14ac:dyDescent="0.25">
      <c r="A62" s="290"/>
      <c r="B62" s="87" t="s">
        <v>258</v>
      </c>
      <c r="C62" s="141" t="s">
        <v>696</v>
      </c>
      <c r="D62" s="137" t="s">
        <v>676</v>
      </c>
      <c r="E62" s="137" t="s">
        <v>660</v>
      </c>
      <c r="F62" s="137" t="s">
        <v>692</v>
      </c>
      <c r="G62" s="137" t="s">
        <v>350</v>
      </c>
      <c r="H62" s="137" t="s">
        <v>384</v>
      </c>
      <c r="I62" s="141" t="s">
        <v>887</v>
      </c>
      <c r="J62" s="141" t="s">
        <v>297</v>
      </c>
      <c r="K62" s="141" t="s">
        <v>333</v>
      </c>
      <c r="L62" s="137" t="s">
        <v>694</v>
      </c>
      <c r="M62" s="137"/>
      <c r="N62" s="137" t="s">
        <v>285</v>
      </c>
      <c r="O62" s="137" t="s">
        <v>286</v>
      </c>
      <c r="P62" s="137" t="s">
        <v>409</v>
      </c>
      <c r="Q62" s="141" t="s">
        <v>695</v>
      </c>
      <c r="R62" s="141"/>
      <c r="S62" s="141" t="s">
        <v>970</v>
      </c>
      <c r="T62" s="189"/>
      <c r="U62" s="213"/>
      <c r="V62" s="189"/>
      <c r="W62" s="189"/>
      <c r="X62" s="214"/>
      <c r="Y62" s="189"/>
      <c r="Z62" s="215"/>
      <c r="AA62" s="825" t="s">
        <v>838</v>
      </c>
      <c r="AB62" s="832"/>
      <c r="AC62" s="832"/>
      <c r="AD62" s="832"/>
      <c r="AE62" s="832" t="s">
        <v>839</v>
      </c>
      <c r="AF62" s="832"/>
      <c r="AG62" s="832"/>
      <c r="AH62" s="832"/>
      <c r="AI62" s="832" t="s">
        <v>840</v>
      </c>
      <c r="AJ62" s="832"/>
      <c r="AK62" s="832"/>
      <c r="AL62" s="832"/>
      <c r="AM62" s="832" t="s">
        <v>841</v>
      </c>
      <c r="AN62" s="832"/>
      <c r="AO62" s="832"/>
      <c r="AP62" s="832"/>
      <c r="AQ62" s="832" t="s">
        <v>842</v>
      </c>
      <c r="AR62" s="832"/>
      <c r="AS62" s="832"/>
      <c r="AT62" s="832"/>
      <c r="AU62" s="288"/>
      <c r="AV62" s="288"/>
      <c r="AW62" s="288"/>
      <c r="AX62" s="288"/>
      <c r="AY62" s="288"/>
      <c r="AZ62" s="288"/>
      <c r="BA62" s="288"/>
      <c r="BB62" s="288"/>
      <c r="BC62" s="288"/>
      <c r="BD62" s="288"/>
      <c r="BE62" s="288"/>
      <c r="BF62" s="288"/>
      <c r="BG62" s="288"/>
      <c r="BH62" s="288"/>
      <c r="BI62" s="288"/>
      <c r="BJ62" s="288"/>
      <c r="BK62" s="288"/>
      <c r="BL62" s="288"/>
      <c r="BM62" s="288"/>
      <c r="BN62" s="289"/>
    </row>
    <row r="63" spans="1:66" s="287" customFormat="1" ht="15.75" x14ac:dyDescent="0.25">
      <c r="A63" s="290"/>
      <c r="B63" s="269"/>
      <c r="C63" s="141"/>
      <c r="D63" s="137"/>
      <c r="E63" s="137"/>
      <c r="F63" s="137"/>
      <c r="G63" s="137"/>
      <c r="H63" s="137"/>
      <c r="I63" s="141"/>
      <c r="J63" s="141"/>
      <c r="K63" s="141"/>
      <c r="L63" s="137"/>
      <c r="M63" s="137"/>
      <c r="N63" s="137"/>
      <c r="O63" s="137"/>
      <c r="P63" s="137"/>
      <c r="Q63" s="141"/>
      <c r="R63" s="141"/>
      <c r="S63" s="141"/>
      <c r="T63" s="189"/>
      <c r="U63" s="213"/>
      <c r="V63" s="189"/>
      <c r="W63" s="189"/>
      <c r="X63" s="214"/>
      <c r="Y63" s="189"/>
      <c r="Z63" s="215"/>
      <c r="AA63" s="696">
        <v>2010</v>
      </c>
      <c r="AB63" s="713">
        <v>2011</v>
      </c>
      <c r="AC63" s="713">
        <v>2012</v>
      </c>
      <c r="AD63" s="713">
        <v>2013</v>
      </c>
      <c r="AE63" s="713">
        <v>2010</v>
      </c>
      <c r="AF63" s="713">
        <v>2011</v>
      </c>
      <c r="AG63" s="713">
        <v>2012</v>
      </c>
      <c r="AH63" s="713">
        <v>2013</v>
      </c>
      <c r="AI63" s="713">
        <v>2010</v>
      </c>
      <c r="AJ63" s="713">
        <v>2011</v>
      </c>
      <c r="AK63" s="713">
        <v>2012</v>
      </c>
      <c r="AL63" s="713">
        <v>2013</v>
      </c>
      <c r="AM63" s="713">
        <v>2010</v>
      </c>
      <c r="AN63" s="713">
        <v>2011</v>
      </c>
      <c r="AO63" s="713">
        <v>2012</v>
      </c>
      <c r="AP63" s="713">
        <v>2013</v>
      </c>
      <c r="AQ63" s="713">
        <v>2010</v>
      </c>
      <c r="AR63" s="713">
        <v>2011</v>
      </c>
      <c r="AS63" s="713">
        <v>2012</v>
      </c>
      <c r="AT63" s="713">
        <v>2013</v>
      </c>
      <c r="AU63" s="288"/>
      <c r="AV63" s="288"/>
      <c r="AW63" s="288"/>
      <c r="AX63" s="288"/>
      <c r="AY63" s="288"/>
      <c r="AZ63" s="288"/>
      <c r="BA63" s="288"/>
      <c r="BB63" s="288"/>
      <c r="BC63" s="288"/>
      <c r="BD63" s="288"/>
      <c r="BE63" s="288"/>
      <c r="BF63" s="288"/>
      <c r="BG63" s="288"/>
      <c r="BH63" s="288"/>
      <c r="BI63" s="288"/>
      <c r="BJ63" s="288"/>
      <c r="BK63" s="288"/>
      <c r="BL63" s="288"/>
      <c r="BM63" s="288"/>
      <c r="BN63" s="289"/>
    </row>
    <row r="64" spans="1:66" s="287" customFormat="1" ht="15.75" x14ac:dyDescent="0.25">
      <c r="A64" s="290"/>
      <c r="B64" s="269" t="s">
        <v>3</v>
      </c>
      <c r="C64" s="141"/>
      <c r="D64" s="137"/>
      <c r="E64" s="137"/>
      <c r="F64" s="137"/>
      <c r="G64" s="137"/>
      <c r="H64" s="137"/>
      <c r="I64" s="141"/>
      <c r="J64" s="141"/>
      <c r="K64" s="141"/>
      <c r="L64" s="137"/>
      <c r="M64" s="137"/>
      <c r="N64" s="137"/>
      <c r="O64" s="137"/>
      <c r="P64" s="137"/>
      <c r="Q64" s="141"/>
      <c r="R64" s="141"/>
      <c r="S64" s="141"/>
      <c r="T64" s="189"/>
      <c r="U64" s="213"/>
      <c r="V64" s="189"/>
      <c r="W64" s="189"/>
      <c r="X64" s="214"/>
      <c r="Y64" s="189"/>
      <c r="Z64" s="215"/>
      <c r="AA64" s="324">
        <v>1255590.77760901</v>
      </c>
      <c r="AB64" s="324">
        <v>1293917.3963132601</v>
      </c>
      <c r="AC64" s="324">
        <v>1338178.1367853901</v>
      </c>
      <c r="AD64" s="385">
        <v>1360266.6150952401</v>
      </c>
      <c r="AE64" s="324">
        <v>41649.316790737001</v>
      </c>
      <c r="AF64" s="324">
        <v>44762.9050341357</v>
      </c>
      <c r="AG64" s="324">
        <v>48645.243594625303</v>
      </c>
      <c r="AH64" s="385">
        <v>52607.356391569498</v>
      </c>
      <c r="AI64" s="324">
        <v>35021.156736303303</v>
      </c>
      <c r="AJ64" s="324">
        <v>33968.350274038101</v>
      </c>
      <c r="AK64" s="324">
        <v>35711.227199838999</v>
      </c>
      <c r="AL64" s="385">
        <v>36595.112543057199</v>
      </c>
      <c r="AM64" s="324">
        <v>10847.4468739412</v>
      </c>
      <c r="AN64" s="324">
        <v>11303.963338883301</v>
      </c>
      <c r="AO64" s="324">
        <v>12150.422661695</v>
      </c>
      <c r="AP64" s="385">
        <v>13262.7011957709</v>
      </c>
      <c r="AQ64" s="324">
        <v>18688.276854141401</v>
      </c>
      <c r="AR64" s="324">
        <v>13864.2531591304</v>
      </c>
      <c r="AS64" s="324">
        <v>9917.1637692403492</v>
      </c>
      <c r="AT64" s="385">
        <v>8517.6276074042707</v>
      </c>
      <c r="AU64" s="288"/>
      <c r="AV64" s="288"/>
      <c r="AW64" s="288"/>
      <c r="AX64" s="288"/>
      <c r="AY64" s="288"/>
      <c r="AZ64" s="288"/>
      <c r="BA64" s="288"/>
      <c r="BB64" s="288"/>
      <c r="BC64" s="288"/>
      <c r="BD64" s="288"/>
      <c r="BE64" s="288"/>
      <c r="BF64" s="288"/>
      <c r="BG64" s="288"/>
      <c r="BH64" s="288"/>
      <c r="BI64" s="288"/>
      <c r="BJ64" s="288"/>
      <c r="BK64" s="288"/>
      <c r="BL64" s="288"/>
      <c r="BM64" s="288"/>
      <c r="BN64" s="289"/>
    </row>
    <row r="65" spans="1:66" s="194" customFormat="1" ht="15.75" x14ac:dyDescent="0.25">
      <c r="A65" s="749"/>
      <c r="B65" s="470" t="s">
        <v>4</v>
      </c>
      <c r="C65" s="141"/>
      <c r="D65" s="137"/>
      <c r="E65" s="137"/>
      <c r="F65" s="137"/>
      <c r="G65" s="137"/>
      <c r="H65" s="137"/>
      <c r="I65" s="141"/>
      <c r="J65" s="141"/>
      <c r="K65" s="141"/>
      <c r="L65" s="137"/>
      <c r="M65" s="137"/>
      <c r="N65" s="137"/>
      <c r="O65" s="137"/>
      <c r="P65" s="137"/>
      <c r="Q65" s="141"/>
      <c r="R65" s="141"/>
      <c r="S65" s="141"/>
      <c r="T65" s="189"/>
      <c r="U65" s="213"/>
      <c r="V65" s="189"/>
      <c r="W65" s="189"/>
      <c r="X65" s="214"/>
      <c r="Y65" s="189"/>
      <c r="Z65" s="215"/>
      <c r="AA65" s="324">
        <v>700192.96582703316</v>
      </c>
      <c r="AB65" s="324">
        <v>730959.59420460381</v>
      </c>
      <c r="AC65" s="324">
        <v>774704.03514258133</v>
      </c>
      <c r="AD65" s="386">
        <v>780361.40254057746</v>
      </c>
      <c r="AE65" s="324">
        <v>20368.835750554084</v>
      </c>
      <c r="AF65" s="324">
        <v>20055.745428831466</v>
      </c>
      <c r="AG65" s="324">
        <v>20065.184526172212</v>
      </c>
      <c r="AH65" s="386">
        <v>20143.303776769499</v>
      </c>
      <c r="AI65" s="324">
        <v>125501.75570957123</v>
      </c>
      <c r="AJ65" s="324">
        <v>125209.19847138209</v>
      </c>
      <c r="AK65" s="324">
        <v>131186.35003586346</v>
      </c>
      <c r="AL65" s="386">
        <v>131240.28032223851</v>
      </c>
      <c r="AM65" s="324">
        <v>3087.92907963886</v>
      </c>
      <c r="AN65" s="324">
        <v>3361.9054607606631</v>
      </c>
      <c r="AO65" s="324">
        <v>3543.1868233605933</v>
      </c>
      <c r="AP65" s="386">
        <v>3843.2943056574859</v>
      </c>
      <c r="AQ65" s="324">
        <v>17535.947376823642</v>
      </c>
      <c r="AR65" s="324">
        <v>13894.344984243946</v>
      </c>
      <c r="AS65" s="324">
        <v>11749.008460726878</v>
      </c>
      <c r="AT65" s="386">
        <v>13995.472149516039</v>
      </c>
      <c r="AU65" s="171"/>
      <c r="AV65" s="171"/>
      <c r="AW65" s="171"/>
      <c r="AX65" s="171"/>
      <c r="AY65" s="171"/>
      <c r="AZ65" s="171"/>
      <c r="BA65" s="171"/>
      <c r="BB65" s="171"/>
      <c r="BC65" s="171"/>
      <c r="BD65" s="171"/>
      <c r="BE65" s="171"/>
      <c r="BF65" s="171"/>
      <c r="BG65" s="171"/>
      <c r="BH65" s="171"/>
      <c r="BI65" s="171"/>
      <c r="BJ65" s="171"/>
      <c r="BK65" s="171"/>
      <c r="BL65" s="171"/>
      <c r="BM65" s="171"/>
      <c r="BN65" s="750"/>
    </row>
    <row r="66" spans="1:66" s="287" customFormat="1" ht="15.75" x14ac:dyDescent="0.25">
      <c r="A66" s="290"/>
      <c r="B66" s="269" t="s">
        <v>5</v>
      </c>
      <c r="C66" s="141"/>
      <c r="D66" s="137"/>
      <c r="E66" s="137"/>
      <c r="F66" s="137"/>
      <c r="G66" s="137"/>
      <c r="H66" s="137"/>
      <c r="I66" s="141"/>
      <c r="J66" s="141"/>
      <c r="K66" s="141"/>
      <c r="L66" s="137"/>
      <c r="M66" s="137"/>
      <c r="N66" s="137"/>
      <c r="O66" s="137"/>
      <c r="P66" s="137"/>
      <c r="Q66" s="141"/>
      <c r="R66" s="141"/>
      <c r="S66" s="141"/>
      <c r="T66" s="189"/>
      <c r="U66" s="213"/>
      <c r="V66" s="189"/>
      <c r="W66" s="189"/>
      <c r="X66" s="214"/>
      <c r="Y66" s="189"/>
      <c r="Z66" s="215"/>
      <c r="AA66" s="324">
        <v>989987.31773982802</v>
      </c>
      <c r="AB66" s="324">
        <v>1012744.18773027</v>
      </c>
      <c r="AC66" s="324">
        <v>1038588.75932557</v>
      </c>
      <c r="AD66" s="386">
        <v>1058178.5964613799</v>
      </c>
      <c r="AE66" s="324">
        <v>1745.0888209009099</v>
      </c>
      <c r="AF66" s="324">
        <v>1917.43540298891</v>
      </c>
      <c r="AG66" s="324">
        <v>1645.2758614813699</v>
      </c>
      <c r="AH66" s="386">
        <v>2065.4862556923499</v>
      </c>
      <c r="AI66" s="324">
        <v>810.25361154027701</v>
      </c>
      <c r="AJ66" s="324">
        <v>693.62910041426801</v>
      </c>
      <c r="AK66" s="324">
        <v>750.82616360788302</v>
      </c>
      <c r="AL66" s="386">
        <v>938.87276443213204</v>
      </c>
      <c r="AM66" s="324">
        <v>18723.640400285502</v>
      </c>
      <c r="AN66" s="324">
        <v>18332.114228415001</v>
      </c>
      <c r="AO66" s="324">
        <v>19213.731234964202</v>
      </c>
      <c r="AP66" s="386">
        <v>21130.474604883399</v>
      </c>
      <c r="AQ66" s="324">
        <v>30835.911041407198</v>
      </c>
      <c r="AR66" s="324">
        <v>24078.881649796898</v>
      </c>
      <c r="AS66" s="324">
        <v>19874.608945003602</v>
      </c>
      <c r="AT66" s="386">
        <v>19775.560754119699</v>
      </c>
      <c r="AU66" s="288"/>
      <c r="AV66" s="288"/>
      <c r="AW66" s="288"/>
      <c r="AX66" s="288"/>
      <c r="AY66" s="288"/>
      <c r="AZ66" s="288"/>
      <c r="BA66" s="288"/>
      <c r="BB66" s="288"/>
      <c r="BC66" s="288"/>
      <c r="BD66" s="288"/>
      <c r="BE66" s="288"/>
      <c r="BF66" s="288"/>
      <c r="BG66" s="288"/>
      <c r="BH66" s="288"/>
      <c r="BI66" s="288"/>
      <c r="BJ66" s="288"/>
      <c r="BK66" s="288"/>
      <c r="BL66" s="288"/>
      <c r="BM66" s="288"/>
      <c r="BN66" s="289"/>
    </row>
    <row r="67" spans="1:66" s="287" customFormat="1" ht="15.75" x14ac:dyDescent="0.25">
      <c r="A67" s="290"/>
      <c r="B67" s="269" t="s">
        <v>251</v>
      </c>
      <c r="C67" s="141"/>
      <c r="D67" s="137"/>
      <c r="E67" s="137"/>
      <c r="F67" s="137"/>
      <c r="G67" s="137"/>
      <c r="H67" s="137"/>
      <c r="I67" s="141"/>
      <c r="J67" s="141"/>
      <c r="K67" s="141"/>
      <c r="L67" s="137"/>
      <c r="M67" s="137"/>
      <c r="N67" s="137"/>
      <c r="O67" s="137"/>
      <c r="P67" s="137"/>
      <c r="Q67" s="141"/>
      <c r="R67" s="141"/>
      <c r="S67" s="141"/>
      <c r="T67" s="189"/>
      <c r="U67" s="213"/>
      <c r="V67" s="189"/>
      <c r="W67" s="189"/>
      <c r="X67" s="214"/>
      <c r="Y67" s="189"/>
      <c r="Z67" s="215"/>
      <c r="AA67" s="324">
        <v>709581.226088973</v>
      </c>
      <c r="AB67" s="324">
        <v>726168.93858448497</v>
      </c>
      <c r="AC67" s="324">
        <v>748975.11083609599</v>
      </c>
      <c r="AD67" s="386">
        <v>748996.034103279</v>
      </c>
      <c r="AE67" s="324">
        <v>94753.940242714307</v>
      </c>
      <c r="AF67" s="324">
        <v>90342.882138266199</v>
      </c>
      <c r="AG67" s="324">
        <v>89049.237669308903</v>
      </c>
      <c r="AH67" s="386">
        <v>76741.852574914097</v>
      </c>
      <c r="AI67" s="324">
        <v>125406.80223511699</v>
      </c>
      <c r="AJ67" s="324">
        <v>118827.515181208</v>
      </c>
      <c r="AK67" s="324">
        <v>119115.88617382701</v>
      </c>
      <c r="AL67" s="386">
        <v>115746.662727843</v>
      </c>
      <c r="AM67" s="324">
        <v>8366.7980540187109</v>
      </c>
      <c r="AN67" s="324">
        <v>9383.6173695214802</v>
      </c>
      <c r="AO67" s="324">
        <v>9632.1917890607892</v>
      </c>
      <c r="AP67" s="386">
        <v>12085.660226534599</v>
      </c>
      <c r="AQ67" s="324">
        <v>25692.307199955201</v>
      </c>
      <c r="AR67" s="324">
        <v>23083.503532161401</v>
      </c>
      <c r="AS67" s="324">
        <v>22076.7857069645</v>
      </c>
      <c r="AT67" s="386">
        <v>20835.706039799901</v>
      </c>
      <c r="AU67" s="288"/>
      <c r="AV67" s="288"/>
      <c r="AW67" s="288"/>
      <c r="AX67" s="288"/>
      <c r="AY67" s="288"/>
      <c r="AZ67" s="288"/>
      <c r="BA67" s="288"/>
      <c r="BB67" s="288"/>
      <c r="BC67" s="288"/>
      <c r="BD67" s="288"/>
      <c r="BE67" s="288"/>
      <c r="BF67" s="288"/>
      <c r="BG67" s="288"/>
      <c r="BH67" s="288"/>
      <c r="BI67" s="288"/>
      <c r="BJ67" s="288"/>
      <c r="BK67" s="288"/>
      <c r="BL67" s="288"/>
      <c r="BM67" s="288"/>
      <c r="BN67" s="289"/>
    </row>
    <row r="68" spans="1:66" s="287" customFormat="1" ht="15.75" x14ac:dyDescent="0.25">
      <c r="A68" s="290"/>
      <c r="B68" s="269" t="s">
        <v>252</v>
      </c>
      <c r="C68" s="141"/>
      <c r="D68" s="137"/>
      <c r="E68" s="137"/>
      <c r="F68" s="137"/>
      <c r="G68" s="137"/>
      <c r="H68" s="137"/>
      <c r="I68" s="141"/>
      <c r="J68" s="141"/>
      <c r="K68" s="141"/>
      <c r="L68" s="137"/>
      <c r="M68" s="137"/>
      <c r="N68" s="137"/>
      <c r="O68" s="137"/>
      <c r="P68" s="137"/>
      <c r="Q68" s="141"/>
      <c r="R68" s="141"/>
      <c r="S68" s="141"/>
      <c r="T68" s="189"/>
      <c r="U68" s="213"/>
      <c r="V68" s="189"/>
      <c r="W68" s="189"/>
      <c r="X68" s="214"/>
      <c r="Y68" s="189"/>
      <c r="Z68" s="215"/>
      <c r="AA68" s="324">
        <v>865387.76259236899</v>
      </c>
      <c r="AB68" s="324">
        <v>893112.33906334604</v>
      </c>
      <c r="AC68" s="324">
        <v>891429.98429005803</v>
      </c>
      <c r="AD68" s="386">
        <v>944292.35211317695</v>
      </c>
      <c r="AE68" s="324">
        <v>8447.0826377366793</v>
      </c>
      <c r="AF68" s="324">
        <v>7379.9732720627298</v>
      </c>
      <c r="AG68" s="324">
        <v>6995.05320277791</v>
      </c>
      <c r="AH68" s="386">
        <v>7085.4897134358598</v>
      </c>
      <c r="AI68" s="324">
        <v>67653.147644342898</v>
      </c>
      <c r="AJ68" s="324">
        <v>67944.503283934595</v>
      </c>
      <c r="AK68" s="324">
        <v>66872.106010319898</v>
      </c>
      <c r="AL68" s="386">
        <v>68306.341450931999</v>
      </c>
      <c r="AM68" s="324">
        <v>7256.6091521504404</v>
      </c>
      <c r="AN68" s="324">
        <v>8652.0314670749704</v>
      </c>
      <c r="AO68" s="324">
        <v>9540.7583275082998</v>
      </c>
      <c r="AP68" s="386">
        <v>11410.948290658</v>
      </c>
      <c r="AQ68" s="324">
        <v>21040.5463516772</v>
      </c>
      <c r="AR68" s="324">
        <v>14914.607420337201</v>
      </c>
      <c r="AS68" s="324">
        <v>9211.0094045779897</v>
      </c>
      <c r="AT68" s="386">
        <v>7171.8841888331099</v>
      </c>
      <c r="AU68" s="288"/>
      <c r="AV68" s="288"/>
      <c r="AW68" s="288"/>
      <c r="AX68" s="288"/>
      <c r="AY68" s="288"/>
      <c r="AZ68" s="288"/>
      <c r="BA68" s="288"/>
      <c r="BB68" s="288"/>
      <c r="BC68" s="288"/>
      <c r="BD68" s="288"/>
      <c r="BE68" s="288"/>
      <c r="BF68" s="288"/>
      <c r="BG68" s="288"/>
      <c r="BH68" s="288"/>
      <c r="BI68" s="288"/>
      <c r="BJ68" s="288"/>
      <c r="BK68" s="288"/>
      <c r="BL68" s="288"/>
      <c r="BM68" s="288"/>
      <c r="BN68" s="289"/>
    </row>
    <row r="69" spans="1:66" s="194" customFormat="1" ht="15.75" x14ac:dyDescent="0.25">
      <c r="A69" s="749"/>
      <c r="B69" s="470" t="s">
        <v>6</v>
      </c>
      <c r="C69" s="141"/>
      <c r="D69" s="137"/>
      <c r="E69" s="137"/>
      <c r="F69" s="137"/>
      <c r="G69" s="137"/>
      <c r="H69" s="137"/>
      <c r="I69" s="141"/>
      <c r="J69" s="141"/>
      <c r="K69" s="141"/>
      <c r="L69" s="137"/>
      <c r="M69" s="137"/>
      <c r="N69" s="137"/>
      <c r="O69" s="137"/>
      <c r="P69" s="137"/>
      <c r="Q69" s="141"/>
      <c r="R69" s="141"/>
      <c r="S69" s="141"/>
      <c r="T69" s="189"/>
      <c r="U69" s="213"/>
      <c r="V69" s="189"/>
      <c r="W69" s="189"/>
      <c r="X69" s="214"/>
      <c r="Y69" s="189"/>
      <c r="Z69" s="215"/>
      <c r="AA69" s="324">
        <v>310855.39960834302</v>
      </c>
      <c r="AB69" s="324">
        <v>318564.90543661098</v>
      </c>
      <c r="AC69" s="324">
        <v>315725.56180151098</v>
      </c>
      <c r="AD69" s="386">
        <v>317256.61497312598</v>
      </c>
      <c r="AE69" s="324">
        <v>2822.9709665667201</v>
      </c>
      <c r="AF69" s="324">
        <v>2809.9667130346302</v>
      </c>
      <c r="AG69" s="324">
        <v>2629.7769140606101</v>
      </c>
      <c r="AH69" s="386">
        <v>2370.2764368296998</v>
      </c>
      <c r="AI69" s="324">
        <v>7605.8870519189504</v>
      </c>
      <c r="AJ69" s="324">
        <v>6486.8884150959602</v>
      </c>
      <c r="AK69" s="324">
        <v>6385.9523355449801</v>
      </c>
      <c r="AL69" s="386">
        <v>6057.3169737612998</v>
      </c>
      <c r="AM69" s="324">
        <v>15312.9286551279</v>
      </c>
      <c r="AN69" s="324">
        <v>12775.2443411191</v>
      </c>
      <c r="AO69" s="324">
        <v>11221.284938216801</v>
      </c>
      <c r="AP69" s="386">
        <v>10319.2376164368</v>
      </c>
      <c r="AQ69" s="324">
        <v>10994.9960696367</v>
      </c>
      <c r="AR69" s="324">
        <v>10389.622532973601</v>
      </c>
      <c r="AS69" s="324">
        <v>10051.6704365471</v>
      </c>
      <c r="AT69" s="386">
        <v>9709.2661451539207</v>
      </c>
      <c r="AU69" s="171"/>
      <c r="AV69" s="171"/>
      <c r="AW69" s="171"/>
      <c r="AX69" s="171"/>
      <c r="AY69" s="171"/>
      <c r="AZ69" s="171"/>
      <c r="BA69" s="171"/>
      <c r="BB69" s="171"/>
      <c r="BC69" s="171"/>
      <c r="BD69" s="171"/>
      <c r="BE69" s="171"/>
      <c r="BF69" s="171"/>
      <c r="BG69" s="171"/>
      <c r="BH69" s="171"/>
      <c r="BI69" s="171"/>
      <c r="BJ69" s="171"/>
      <c r="BK69" s="171"/>
      <c r="BL69" s="171"/>
      <c r="BM69" s="171"/>
      <c r="BN69" s="750"/>
    </row>
    <row r="70" spans="1:66" s="194" customFormat="1" ht="15.75" x14ac:dyDescent="0.25">
      <c r="A70" s="749"/>
      <c r="B70" s="470" t="s">
        <v>8</v>
      </c>
      <c r="C70" s="141"/>
      <c r="D70" s="137"/>
      <c r="E70" s="137"/>
      <c r="F70" s="137"/>
      <c r="G70" s="137"/>
      <c r="H70" s="137"/>
      <c r="I70" s="141"/>
      <c r="J70" s="141"/>
      <c r="K70" s="141"/>
      <c r="L70" s="137"/>
      <c r="M70" s="137"/>
      <c r="N70" s="137"/>
      <c r="O70" s="137"/>
      <c r="P70" s="137"/>
      <c r="Q70" s="141"/>
      <c r="R70" s="141"/>
      <c r="S70" s="141"/>
      <c r="T70" s="189"/>
      <c r="U70" s="213"/>
      <c r="V70" s="189"/>
      <c r="W70" s="189"/>
      <c r="X70" s="214"/>
      <c r="Y70" s="189"/>
      <c r="Z70" s="215"/>
      <c r="AA70" s="384">
        <v>156644.51907083599</v>
      </c>
      <c r="AB70" s="384">
        <v>93383.058469078998</v>
      </c>
      <c r="AC70" s="384">
        <v>162638.988831778</v>
      </c>
      <c r="AD70" s="376">
        <v>166593.82248013499</v>
      </c>
      <c r="AE70" s="384">
        <v>20819.3180726149</v>
      </c>
      <c r="AF70" s="384">
        <v>40339.8812701602</v>
      </c>
      <c r="AG70" s="384">
        <v>23887.649141077702</v>
      </c>
      <c r="AH70" s="376">
        <v>23847.628921568299</v>
      </c>
      <c r="AI70" s="384">
        <v>33812.956668924402</v>
      </c>
      <c r="AJ70" s="384">
        <v>28129.2201318765</v>
      </c>
      <c r="AK70" s="384">
        <v>32267.361304208502</v>
      </c>
      <c r="AL70" s="376">
        <v>31225.6871343516</v>
      </c>
      <c r="AM70" s="384">
        <v>1698.25262701975</v>
      </c>
      <c r="AN70" s="384">
        <v>539.037259362437</v>
      </c>
      <c r="AO70" s="384">
        <v>1571.20281094139</v>
      </c>
      <c r="AP70" s="376">
        <v>1958.7924240515699</v>
      </c>
      <c r="AQ70" s="384">
        <v>25386.525183455</v>
      </c>
      <c r="AR70" s="384">
        <v>3281.49354608267</v>
      </c>
      <c r="AS70" s="384">
        <v>21572.613073242399</v>
      </c>
      <c r="AT70" s="376">
        <v>19711.983872777499</v>
      </c>
      <c r="AU70" s="171"/>
      <c r="AV70" s="171"/>
      <c r="AW70" s="171"/>
      <c r="AX70" s="171"/>
      <c r="AY70" s="171"/>
      <c r="AZ70" s="171"/>
      <c r="BA70" s="171"/>
      <c r="BB70" s="171"/>
      <c r="BC70" s="171"/>
      <c r="BD70" s="171"/>
      <c r="BE70" s="171"/>
      <c r="BF70" s="171"/>
      <c r="BG70" s="171"/>
      <c r="BH70" s="171"/>
      <c r="BI70" s="171"/>
      <c r="BJ70" s="171"/>
      <c r="BK70" s="171"/>
      <c r="BL70" s="171"/>
      <c r="BM70" s="171"/>
      <c r="BN70" s="750"/>
    </row>
    <row r="71" spans="1:66" s="194" customFormat="1" ht="15.75" x14ac:dyDescent="0.25">
      <c r="A71" s="749"/>
      <c r="B71" s="470" t="s">
        <v>7</v>
      </c>
      <c r="C71" s="141"/>
      <c r="D71" s="137"/>
      <c r="E71" s="137"/>
      <c r="F71" s="137"/>
      <c r="G71" s="137"/>
      <c r="H71" s="137"/>
      <c r="I71" s="141"/>
      <c r="J71" s="141"/>
      <c r="K71" s="141"/>
      <c r="L71" s="137"/>
      <c r="M71" s="137"/>
      <c r="N71" s="137"/>
      <c r="O71" s="137"/>
      <c r="P71" s="137"/>
      <c r="Q71" s="141"/>
      <c r="R71" s="141"/>
      <c r="S71" s="141"/>
      <c r="T71" s="189"/>
      <c r="U71" s="213"/>
      <c r="V71" s="189"/>
      <c r="W71" s="189"/>
      <c r="X71" s="214"/>
      <c r="Y71" s="189"/>
      <c r="Z71" s="215"/>
      <c r="AA71" s="324">
        <v>150024.73331103401</v>
      </c>
      <c r="AB71" s="324">
        <v>156525.66038931001</v>
      </c>
      <c r="AC71" s="324">
        <v>163821.14992341501</v>
      </c>
      <c r="AD71" s="386">
        <v>170182.44982715001</v>
      </c>
      <c r="AE71" s="324">
        <v>39983.381597571002</v>
      </c>
      <c r="AF71" s="324">
        <v>40700.226986103102</v>
      </c>
      <c r="AG71" s="324">
        <v>42786.413155660302</v>
      </c>
      <c r="AH71" s="386">
        <v>44360.507160756002</v>
      </c>
      <c r="AI71" s="324">
        <v>23378.1198190658</v>
      </c>
      <c r="AJ71" s="324">
        <v>23922.550563147601</v>
      </c>
      <c r="AK71" s="324">
        <v>24827.8266915436</v>
      </c>
      <c r="AL71" s="386">
        <v>25963.818282504901</v>
      </c>
      <c r="AM71" s="324">
        <v>10338.8553089493</v>
      </c>
      <c r="AN71" s="324">
        <v>7877.2372626918695</v>
      </c>
      <c r="AO71" s="324">
        <v>4980.7352889680997</v>
      </c>
      <c r="AP71" s="386">
        <v>3319.9584559334799</v>
      </c>
      <c r="AQ71" s="324">
        <v>8330.1276655023703</v>
      </c>
      <c r="AR71" s="324">
        <v>7310.8712502899298</v>
      </c>
      <c r="AS71" s="324">
        <v>6711.8008688584996</v>
      </c>
      <c r="AT71" s="386">
        <v>6787.9924044383397</v>
      </c>
      <c r="AU71" s="171"/>
      <c r="AV71" s="171"/>
      <c r="AW71" s="171"/>
      <c r="AX71" s="171"/>
      <c r="AY71" s="171"/>
      <c r="AZ71" s="171"/>
      <c r="BA71" s="171"/>
      <c r="BB71" s="171"/>
      <c r="BC71" s="171"/>
      <c r="BD71" s="171"/>
      <c r="BE71" s="171"/>
      <c r="BF71" s="171"/>
      <c r="BG71" s="171"/>
      <c r="BH71" s="171"/>
      <c r="BI71" s="171"/>
      <c r="BJ71" s="171"/>
      <c r="BK71" s="171"/>
      <c r="BL71" s="171"/>
      <c r="BM71" s="171"/>
      <c r="BN71" s="750"/>
    </row>
    <row r="72" spans="1:66" s="194" customFormat="1" ht="15.75" x14ac:dyDescent="0.25">
      <c r="A72" s="749"/>
      <c r="B72" s="270" t="s">
        <v>800</v>
      </c>
      <c r="C72" s="141"/>
      <c r="D72" s="137"/>
      <c r="E72" s="137"/>
      <c r="F72" s="137"/>
      <c r="G72" s="137"/>
      <c r="H72" s="137"/>
      <c r="I72" s="141"/>
      <c r="J72" s="141"/>
      <c r="K72" s="141"/>
      <c r="L72" s="137"/>
      <c r="M72" s="137"/>
      <c r="N72" s="137"/>
      <c r="O72" s="137"/>
      <c r="P72" s="137"/>
      <c r="Q72" s="141"/>
      <c r="R72" s="141"/>
      <c r="S72" s="141"/>
      <c r="T72" s="189"/>
      <c r="U72" s="213"/>
      <c r="V72" s="189"/>
      <c r="W72" s="189"/>
      <c r="X72" s="214"/>
      <c r="Y72" s="189"/>
      <c r="Z72" s="215"/>
      <c r="AA72" s="384">
        <v>93093.787377590401</v>
      </c>
      <c r="AB72" s="384">
        <v>160044.157872599</v>
      </c>
      <c r="AC72" s="384">
        <v>93294.788706213702</v>
      </c>
      <c r="AD72" s="378">
        <v>97358.446396678904</v>
      </c>
      <c r="AE72" s="384">
        <v>36936.956640060998</v>
      </c>
      <c r="AF72" s="384">
        <v>22783.739747851901</v>
      </c>
      <c r="AG72" s="384">
        <v>42822.712229028402</v>
      </c>
      <c r="AH72" s="378">
        <v>43357.114975707598</v>
      </c>
      <c r="AI72" s="384">
        <v>30011.077463695099</v>
      </c>
      <c r="AJ72" s="384">
        <v>32082.4220196559</v>
      </c>
      <c r="AK72" s="384">
        <v>26992.486455499999</v>
      </c>
      <c r="AL72" s="378">
        <v>27526.947206859801</v>
      </c>
      <c r="AM72" s="384">
        <v>489.47548281734601</v>
      </c>
      <c r="AN72" s="384">
        <v>1464.4947083136799</v>
      </c>
      <c r="AO72" s="384">
        <v>534.74668587821998</v>
      </c>
      <c r="AP72" s="378">
        <v>688.09304723477203</v>
      </c>
      <c r="AQ72" s="384">
        <v>3421.0316593174898</v>
      </c>
      <c r="AR72" s="384">
        <v>23187.043061943899</v>
      </c>
      <c r="AS72" s="384">
        <v>2827.8963853703599</v>
      </c>
      <c r="AT72" s="378">
        <v>2560.2554783749902</v>
      </c>
      <c r="AU72" s="171"/>
      <c r="AV72" s="171"/>
      <c r="AW72" s="171"/>
      <c r="AX72" s="171"/>
      <c r="AY72" s="171"/>
      <c r="AZ72" s="171"/>
      <c r="BA72" s="171"/>
      <c r="BB72" s="171"/>
      <c r="BC72" s="171"/>
      <c r="BD72" s="171"/>
      <c r="BE72" s="171"/>
      <c r="BF72" s="171"/>
      <c r="BG72" s="171"/>
      <c r="BH72" s="171"/>
      <c r="BI72" s="171"/>
      <c r="BJ72" s="171"/>
      <c r="BK72" s="171"/>
      <c r="BL72" s="171"/>
      <c r="BM72" s="171"/>
      <c r="BN72" s="750"/>
    </row>
    <row r="73" spans="1:66" s="287" customFormat="1" ht="15.75" x14ac:dyDescent="0.25">
      <c r="A73" s="290"/>
      <c r="B73" s="247"/>
      <c r="C73" s="141"/>
      <c r="D73" s="137"/>
      <c r="E73" s="137"/>
      <c r="F73" s="137"/>
      <c r="G73" s="137"/>
      <c r="H73" s="137"/>
      <c r="I73" s="141"/>
      <c r="J73" s="141"/>
      <c r="K73" s="141"/>
      <c r="L73" s="137"/>
      <c r="M73" s="137"/>
      <c r="N73" s="137"/>
      <c r="O73" s="137"/>
      <c r="P73" s="137"/>
      <c r="Q73" s="141"/>
      <c r="R73" s="141"/>
      <c r="S73" s="141"/>
      <c r="T73" s="189"/>
      <c r="U73" s="213"/>
      <c r="V73" s="189"/>
      <c r="W73" s="189"/>
      <c r="X73" s="214"/>
      <c r="Y73" s="189"/>
      <c r="Z73" s="215"/>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9"/>
    </row>
    <row r="74" spans="1:66" s="287" customFormat="1" ht="15.75" x14ac:dyDescent="0.25">
      <c r="A74" s="290"/>
      <c r="B74" s="375"/>
      <c r="C74" s="141"/>
      <c r="D74" s="137"/>
      <c r="E74" s="137"/>
      <c r="F74" s="137"/>
      <c r="G74" s="137"/>
      <c r="H74" s="137"/>
      <c r="I74" s="141"/>
      <c r="J74" s="141"/>
      <c r="K74" s="141"/>
      <c r="L74" s="137"/>
      <c r="M74" s="137"/>
      <c r="N74" s="137"/>
      <c r="O74" s="137"/>
      <c r="P74" s="137"/>
      <c r="Q74" s="141"/>
      <c r="R74" s="141"/>
      <c r="S74" s="141"/>
      <c r="T74" s="189"/>
      <c r="U74" s="213"/>
      <c r="V74" s="189"/>
      <c r="W74" s="189"/>
      <c r="X74" s="214"/>
      <c r="Y74" s="189"/>
      <c r="Z74" s="215"/>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9"/>
    </row>
    <row r="75" spans="1:66" s="287" customFormat="1" ht="48" x14ac:dyDescent="0.25">
      <c r="A75" s="290"/>
      <c r="B75" s="87" t="s">
        <v>259</v>
      </c>
      <c r="C75" s="141" t="s">
        <v>890</v>
      </c>
      <c r="D75" s="137" t="s">
        <v>676</v>
      </c>
      <c r="E75" s="137" t="s">
        <v>660</v>
      </c>
      <c r="F75" s="137" t="s">
        <v>692</v>
      </c>
      <c r="G75" s="137" t="s">
        <v>350</v>
      </c>
      <c r="H75" s="137" t="s">
        <v>384</v>
      </c>
      <c r="I75" s="141" t="s">
        <v>888</v>
      </c>
      <c r="J75" s="141" t="s">
        <v>297</v>
      </c>
      <c r="K75" s="141" t="s">
        <v>333</v>
      </c>
      <c r="L75" s="137" t="s">
        <v>694</v>
      </c>
      <c r="M75" s="137"/>
      <c r="N75" s="137" t="s">
        <v>285</v>
      </c>
      <c r="O75" s="137" t="s">
        <v>286</v>
      </c>
      <c r="P75" s="137" t="s">
        <v>409</v>
      </c>
      <c r="Q75" s="141" t="s">
        <v>695</v>
      </c>
      <c r="R75" s="141"/>
      <c r="S75" s="141" t="s">
        <v>970</v>
      </c>
      <c r="T75" s="189"/>
      <c r="U75" s="213"/>
      <c r="V75" s="189"/>
      <c r="W75" s="189"/>
      <c r="X75" s="214"/>
      <c r="Y75" s="189"/>
      <c r="Z75" s="215"/>
      <c r="AA75" s="828" t="s">
        <v>843</v>
      </c>
      <c r="AB75" s="833"/>
      <c r="AC75" s="833"/>
      <c r="AD75" s="833"/>
      <c r="AE75" s="833" t="s">
        <v>844</v>
      </c>
      <c r="AF75" s="833"/>
      <c r="AG75" s="833"/>
      <c r="AH75" s="833"/>
      <c r="AI75" s="833" t="s">
        <v>845</v>
      </c>
      <c r="AJ75" s="833"/>
      <c r="AK75" s="833"/>
      <c r="AL75" s="833"/>
      <c r="AM75" s="387"/>
      <c r="AN75" s="268"/>
      <c r="AO75" s="268"/>
      <c r="AP75" s="268"/>
      <c r="AQ75" s="268"/>
      <c r="AR75" s="26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9"/>
    </row>
    <row r="76" spans="1:66" s="287" customFormat="1" ht="15.75" x14ac:dyDescent="0.25">
      <c r="A76" s="290"/>
      <c r="B76" s="269"/>
      <c r="C76" s="141"/>
      <c r="D76" s="137"/>
      <c r="E76" s="137"/>
      <c r="F76" s="137"/>
      <c r="G76" s="137"/>
      <c r="H76" s="137"/>
      <c r="I76" s="141"/>
      <c r="J76" s="141"/>
      <c r="K76" s="141"/>
      <c r="L76" s="137"/>
      <c r="M76" s="137"/>
      <c r="N76" s="137"/>
      <c r="O76" s="137"/>
      <c r="P76" s="137"/>
      <c r="Q76" s="141"/>
      <c r="R76" s="141"/>
      <c r="S76" s="141"/>
      <c r="T76" s="189"/>
      <c r="U76" s="213"/>
      <c r="V76" s="189"/>
      <c r="W76" s="189"/>
      <c r="X76" s="214"/>
      <c r="Y76" s="189"/>
      <c r="Z76" s="215"/>
      <c r="AA76" s="696">
        <v>2010</v>
      </c>
      <c r="AB76" s="713">
        <v>2011</v>
      </c>
      <c r="AC76" s="713">
        <v>2012</v>
      </c>
      <c r="AD76" s="713">
        <v>2013</v>
      </c>
      <c r="AE76" s="713">
        <v>2010</v>
      </c>
      <c r="AF76" s="713">
        <v>2011</v>
      </c>
      <c r="AG76" s="713">
        <v>2012</v>
      </c>
      <c r="AH76" s="713">
        <v>2013</v>
      </c>
      <c r="AI76" s="713">
        <v>2010</v>
      </c>
      <c r="AJ76" s="713">
        <v>2011</v>
      </c>
      <c r="AK76" s="713">
        <v>2012</v>
      </c>
      <c r="AL76" s="713">
        <v>2013</v>
      </c>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9"/>
    </row>
    <row r="77" spans="1:66" s="287" customFormat="1" ht="15.75" x14ac:dyDescent="0.25">
      <c r="A77" s="290"/>
      <c r="B77" s="269" t="s">
        <v>3</v>
      </c>
      <c r="C77" s="141"/>
      <c r="D77" s="137"/>
      <c r="E77" s="137"/>
      <c r="F77" s="137"/>
      <c r="G77" s="137"/>
      <c r="H77" s="137"/>
      <c r="I77" s="141"/>
      <c r="J77" s="141"/>
      <c r="K77" s="141"/>
      <c r="L77" s="137"/>
      <c r="M77" s="137"/>
      <c r="N77" s="137"/>
      <c r="O77" s="137"/>
      <c r="P77" s="137"/>
      <c r="Q77" s="141"/>
      <c r="R77" s="141"/>
      <c r="S77" s="141"/>
      <c r="T77" s="189"/>
      <c r="U77" s="213"/>
      <c r="V77" s="189"/>
      <c r="W77" s="189"/>
      <c r="X77" s="214"/>
      <c r="Y77" s="189"/>
      <c r="Z77" s="215"/>
      <c r="AA77" s="325">
        <v>32508.352593616499</v>
      </c>
      <c r="AB77" s="325">
        <v>37190.248877152299</v>
      </c>
      <c r="AC77" s="325">
        <v>37217.149324534097</v>
      </c>
      <c r="AD77" s="377">
        <v>38737.109006619299</v>
      </c>
      <c r="AE77" s="325">
        <v>1187975.64737819</v>
      </c>
      <c r="AF77" s="325">
        <v>1218575.2924333501</v>
      </c>
      <c r="AG77" s="325">
        <v>1256656.65162903</v>
      </c>
      <c r="AH77" s="377">
        <v>1272347.83828055</v>
      </c>
      <c r="AI77" s="325">
        <v>141312.950908973</v>
      </c>
      <c r="AJ77" s="325">
        <v>142051.29288522899</v>
      </c>
      <c r="AK77" s="325">
        <v>150728.35648516301</v>
      </c>
      <c r="AL77" s="377">
        <v>160164.430270871</v>
      </c>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9"/>
    </row>
    <row r="78" spans="1:66" s="287" customFormat="1" ht="15.75" x14ac:dyDescent="0.25">
      <c r="A78" s="290"/>
      <c r="B78" s="269" t="s">
        <v>4</v>
      </c>
      <c r="C78" s="141"/>
      <c r="D78" s="137"/>
      <c r="E78" s="137"/>
      <c r="F78" s="137"/>
      <c r="G78" s="137"/>
      <c r="H78" s="137"/>
      <c r="I78" s="141"/>
      <c r="J78" s="141"/>
      <c r="K78" s="141"/>
      <c r="L78" s="137"/>
      <c r="M78" s="137"/>
      <c r="N78" s="137"/>
      <c r="O78" s="137"/>
      <c r="P78" s="137"/>
      <c r="Q78" s="141"/>
      <c r="R78" s="141"/>
      <c r="S78" s="141"/>
      <c r="T78" s="189"/>
      <c r="U78" s="213"/>
      <c r="V78" s="189"/>
      <c r="W78" s="189"/>
      <c r="X78" s="214"/>
      <c r="Y78" s="189"/>
      <c r="Z78" s="215"/>
      <c r="AA78" s="325">
        <v>34660.738946873018</v>
      </c>
      <c r="AB78" s="325">
        <v>39564.289190282623</v>
      </c>
      <c r="AC78" s="325">
        <v>40210.944254548493</v>
      </c>
      <c r="AD78" s="378">
        <v>41390.148999318211</v>
      </c>
      <c r="AE78" s="325">
        <v>705279.4665563599</v>
      </c>
      <c r="AF78" s="325">
        <v>731963.99031781266</v>
      </c>
      <c r="AG78" s="325">
        <v>770874.82418440073</v>
      </c>
      <c r="AH78" s="378">
        <v>772951.7417943707</v>
      </c>
      <c r="AI78" s="325">
        <v>126747.21297646061</v>
      </c>
      <c r="AJ78" s="325">
        <v>121952.48735772668</v>
      </c>
      <c r="AK78" s="325">
        <v>130161.97272076213</v>
      </c>
      <c r="AL78" s="378">
        <v>135241.8395336298</v>
      </c>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9"/>
    </row>
    <row r="79" spans="1:66" s="287" customFormat="1" ht="15.75" x14ac:dyDescent="0.25">
      <c r="A79" s="290"/>
      <c r="B79" s="269" t="s">
        <v>5</v>
      </c>
      <c r="C79" s="141"/>
      <c r="D79" s="137"/>
      <c r="E79" s="137"/>
      <c r="F79" s="137"/>
      <c r="G79" s="137"/>
      <c r="H79" s="137"/>
      <c r="I79" s="141"/>
      <c r="J79" s="141"/>
      <c r="K79" s="141"/>
      <c r="L79" s="137"/>
      <c r="M79" s="137"/>
      <c r="N79" s="137"/>
      <c r="O79" s="137"/>
      <c r="P79" s="137"/>
      <c r="Q79" s="141"/>
      <c r="R79" s="141"/>
      <c r="S79" s="141"/>
      <c r="T79" s="189"/>
      <c r="U79" s="213"/>
      <c r="V79" s="189"/>
      <c r="W79" s="189"/>
      <c r="X79" s="214"/>
      <c r="Y79" s="189"/>
      <c r="Z79" s="215"/>
      <c r="AA79" s="325">
        <v>40285.600904507199</v>
      </c>
      <c r="AB79" s="325">
        <v>43386.314795745602</v>
      </c>
      <c r="AC79" s="325">
        <v>47897.602399851203</v>
      </c>
      <c r="AD79" s="378">
        <v>55758.296231553802</v>
      </c>
      <c r="AE79" s="325">
        <v>945084.56304954295</v>
      </c>
      <c r="AF79" s="325">
        <v>958233.91093161702</v>
      </c>
      <c r="AG79" s="325">
        <v>979991.55595185002</v>
      </c>
      <c r="AH79" s="378">
        <v>999196.55324731697</v>
      </c>
      <c r="AI79" s="325">
        <v>56732.023944098699</v>
      </c>
      <c r="AJ79" s="325">
        <v>56145.989244281402</v>
      </c>
      <c r="AK79" s="325">
        <v>52184.007631401902</v>
      </c>
      <c r="AL79" s="378">
        <v>47134.107019179603</v>
      </c>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9"/>
    </row>
    <row r="80" spans="1:66" s="287" customFormat="1" ht="15.75" x14ac:dyDescent="0.25">
      <c r="A80" s="290"/>
      <c r="B80" s="269" t="s">
        <v>251</v>
      </c>
      <c r="C80" s="141"/>
      <c r="D80" s="137"/>
      <c r="E80" s="137"/>
      <c r="F80" s="137"/>
      <c r="G80" s="137"/>
      <c r="H80" s="137"/>
      <c r="I80" s="141"/>
      <c r="J80" s="141"/>
      <c r="K80" s="141"/>
      <c r="L80" s="137"/>
      <c r="M80" s="137"/>
      <c r="N80" s="137"/>
      <c r="O80" s="137"/>
      <c r="P80" s="137"/>
      <c r="Q80" s="141"/>
      <c r="R80" s="141"/>
      <c r="S80" s="141"/>
      <c r="T80" s="189"/>
      <c r="U80" s="213"/>
      <c r="V80" s="189"/>
      <c r="W80" s="189"/>
      <c r="X80" s="214"/>
      <c r="Y80" s="189"/>
      <c r="Z80" s="215"/>
      <c r="AA80" s="325">
        <v>20293.132756483901</v>
      </c>
      <c r="AB80" s="325">
        <v>19756.790487590199</v>
      </c>
      <c r="AC80" s="325">
        <v>19876.834012051801</v>
      </c>
      <c r="AD80" s="378">
        <v>19399.397243377702</v>
      </c>
      <c r="AE80" s="325">
        <v>836870.56983906997</v>
      </c>
      <c r="AF80" s="325">
        <v>848197.76656297594</v>
      </c>
      <c r="AG80" s="325">
        <v>873771.01176192705</v>
      </c>
      <c r="AH80" s="378">
        <v>867330.71094415896</v>
      </c>
      <c r="AI80" s="325">
        <v>106637.523522701</v>
      </c>
      <c r="AJ80" s="325">
        <v>99852.069948526594</v>
      </c>
      <c r="AK80" s="325">
        <v>95201.363040248005</v>
      </c>
      <c r="AL80" s="378">
        <v>87675.769684098297</v>
      </c>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9"/>
    </row>
    <row r="81" spans="1:66" s="287" customFormat="1" ht="15.75" x14ac:dyDescent="0.25">
      <c r="A81" s="290"/>
      <c r="B81" s="269" t="s">
        <v>252</v>
      </c>
      <c r="C81" s="141"/>
      <c r="D81" s="137"/>
      <c r="E81" s="137"/>
      <c r="F81" s="137"/>
      <c r="G81" s="137"/>
      <c r="H81" s="137"/>
      <c r="I81" s="141"/>
      <c r="J81" s="141"/>
      <c r="K81" s="141"/>
      <c r="L81" s="137"/>
      <c r="M81" s="137"/>
      <c r="N81" s="137"/>
      <c r="O81" s="137"/>
      <c r="P81" s="137"/>
      <c r="Q81" s="141"/>
      <c r="R81" s="141"/>
      <c r="S81" s="141"/>
      <c r="T81" s="189"/>
      <c r="U81" s="213"/>
      <c r="V81" s="189"/>
      <c r="W81" s="189"/>
      <c r="X81" s="214"/>
      <c r="Y81" s="189"/>
      <c r="Z81" s="215"/>
      <c r="AA81" s="325">
        <v>43204.363594802897</v>
      </c>
      <c r="AB81" s="325">
        <v>49268.833395172602</v>
      </c>
      <c r="AC81" s="325">
        <v>50532.5089486078</v>
      </c>
      <c r="AD81" s="378">
        <v>58895.343361883803</v>
      </c>
      <c r="AE81" s="325">
        <v>733866.32360419305</v>
      </c>
      <c r="AF81" s="325">
        <v>748263.98415918997</v>
      </c>
      <c r="AG81" s="325">
        <v>734890.46759898402</v>
      </c>
      <c r="AH81" s="378">
        <v>763334.65410441405</v>
      </c>
      <c r="AI81" s="325">
        <v>192714.44409931501</v>
      </c>
      <c r="AJ81" s="325">
        <v>194470.61287724599</v>
      </c>
      <c r="AK81" s="325">
        <v>198625.909775031</v>
      </c>
      <c r="AL81" s="378">
        <v>216036.993396987</v>
      </c>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9"/>
    </row>
    <row r="82" spans="1:66" s="287" customFormat="1" ht="15.75" x14ac:dyDescent="0.25">
      <c r="A82" s="290"/>
      <c r="B82" s="269" t="s">
        <v>6</v>
      </c>
      <c r="C82" s="141"/>
      <c r="D82" s="137"/>
      <c r="E82" s="137"/>
      <c r="F82" s="137"/>
      <c r="G82" s="137"/>
      <c r="H82" s="137"/>
      <c r="I82" s="141"/>
      <c r="J82" s="141"/>
      <c r="K82" s="141"/>
      <c r="L82" s="137"/>
      <c r="M82" s="137"/>
      <c r="N82" s="137"/>
      <c r="O82" s="137"/>
      <c r="P82" s="137"/>
      <c r="Q82" s="141"/>
      <c r="R82" s="141"/>
      <c r="S82" s="141"/>
      <c r="T82" s="189"/>
      <c r="U82" s="213"/>
      <c r="V82" s="189"/>
      <c r="W82" s="189"/>
      <c r="X82" s="214"/>
      <c r="Y82" s="189"/>
      <c r="Z82" s="215"/>
      <c r="AA82" s="325">
        <v>10302.6200187049</v>
      </c>
      <c r="AB82" s="325">
        <v>9860.64634817156</v>
      </c>
      <c r="AC82" s="325">
        <v>10230.2586012139</v>
      </c>
      <c r="AD82" s="378">
        <v>11252.250010321601</v>
      </c>
      <c r="AE82" s="325">
        <v>298438.477361114</v>
      </c>
      <c r="AF82" s="325">
        <v>306030.15005293401</v>
      </c>
      <c r="AG82" s="325">
        <v>303832.18189288501</v>
      </c>
      <c r="AH82" s="378">
        <v>305351.59136063902</v>
      </c>
      <c r="AI82" s="325">
        <v>38941.312853311603</v>
      </c>
      <c r="AJ82" s="325">
        <v>35235.1544124457</v>
      </c>
      <c r="AK82" s="325">
        <v>31952.141133859299</v>
      </c>
      <c r="AL82" s="378">
        <v>29100.571891209202</v>
      </c>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9"/>
    </row>
    <row r="83" spans="1:66" s="287" customFormat="1" ht="15.75" x14ac:dyDescent="0.25">
      <c r="A83" s="290"/>
      <c r="B83" s="269" t="s">
        <v>8</v>
      </c>
      <c r="C83" s="141"/>
      <c r="D83" s="137"/>
      <c r="E83" s="137"/>
      <c r="F83" s="137"/>
      <c r="G83" s="137"/>
      <c r="H83" s="137"/>
      <c r="I83" s="141"/>
      <c r="J83" s="141"/>
      <c r="K83" s="141"/>
      <c r="L83" s="137"/>
      <c r="M83" s="137"/>
      <c r="N83" s="137"/>
      <c r="O83" s="137"/>
      <c r="P83" s="137"/>
      <c r="Q83" s="141"/>
      <c r="R83" s="141"/>
      <c r="S83" s="141"/>
      <c r="T83" s="189"/>
      <c r="U83" s="213"/>
      <c r="V83" s="189"/>
      <c r="W83" s="189"/>
      <c r="X83" s="214"/>
      <c r="Y83" s="189"/>
      <c r="Z83" s="215"/>
      <c r="AA83" s="325">
        <v>18732.563327470401</v>
      </c>
      <c r="AB83" s="325">
        <v>17976.366695725501</v>
      </c>
      <c r="AC83" s="325">
        <v>19169.781861334301</v>
      </c>
      <c r="AD83" s="378">
        <v>21223.815810514399</v>
      </c>
      <c r="AE83" s="325">
        <v>166260.371630682</v>
      </c>
      <c r="AF83" s="325">
        <v>172418.44183454299</v>
      </c>
      <c r="AG83" s="325">
        <v>176448.60576966699</v>
      </c>
      <c r="AH83" s="378">
        <v>179140.226526029</v>
      </c>
      <c r="AI83" s="325">
        <v>53396.601098942003</v>
      </c>
      <c r="AJ83" s="325">
        <v>49198.083408114901</v>
      </c>
      <c r="AK83" s="325">
        <v>46319.5385964862</v>
      </c>
      <c r="AL83" s="378">
        <v>42971.055806619202</v>
      </c>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9"/>
    </row>
    <row r="84" spans="1:66" s="287" customFormat="1" ht="15.75" x14ac:dyDescent="0.25">
      <c r="A84" s="290"/>
      <c r="B84" s="269" t="s">
        <v>7</v>
      </c>
      <c r="C84" s="141"/>
      <c r="D84" s="137"/>
      <c r="E84" s="137"/>
      <c r="F84" s="137"/>
      <c r="G84" s="137"/>
      <c r="H84" s="137"/>
      <c r="I84" s="141"/>
      <c r="J84" s="141"/>
      <c r="K84" s="141"/>
      <c r="L84" s="137"/>
      <c r="M84" s="137"/>
      <c r="N84" s="137"/>
      <c r="O84" s="137"/>
      <c r="P84" s="137"/>
      <c r="Q84" s="141"/>
      <c r="R84" s="141"/>
      <c r="S84" s="141"/>
      <c r="T84" s="189"/>
      <c r="U84" s="213"/>
      <c r="V84" s="189"/>
      <c r="W84" s="189"/>
      <c r="X84" s="214"/>
      <c r="Y84" s="189"/>
      <c r="Z84" s="215"/>
      <c r="AA84" s="325">
        <v>13027.269741569</v>
      </c>
      <c r="AB84" s="325">
        <v>11411.481665237799</v>
      </c>
      <c r="AC84" s="325">
        <v>9466.1117699580991</v>
      </c>
      <c r="AD84" s="378">
        <v>7851.2979317250902</v>
      </c>
      <c r="AE84" s="325">
        <v>201287.79607830301</v>
      </c>
      <c r="AF84" s="325">
        <v>207917.35277032599</v>
      </c>
      <c r="AG84" s="325">
        <v>217367.26173987699</v>
      </c>
      <c r="AH84" s="378">
        <v>226125.73766958999</v>
      </c>
      <c r="AI84" s="325">
        <v>17740.150092772201</v>
      </c>
      <c r="AJ84" s="325">
        <v>17007.709373249199</v>
      </c>
      <c r="AK84" s="325">
        <v>16294.5493387482</v>
      </c>
      <c r="AL84" s="378">
        <v>16637.687598606099</v>
      </c>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9"/>
    </row>
    <row r="85" spans="1:66" s="287" customFormat="1" ht="15.75" x14ac:dyDescent="0.25">
      <c r="A85" s="290"/>
      <c r="B85" s="270" t="s">
        <v>800</v>
      </c>
      <c r="C85" s="141"/>
      <c r="D85" s="137"/>
      <c r="E85" s="137"/>
      <c r="F85" s="137"/>
      <c r="G85" s="137"/>
      <c r="H85" s="137"/>
      <c r="I85" s="141"/>
      <c r="J85" s="141"/>
      <c r="K85" s="141"/>
      <c r="L85" s="137"/>
      <c r="M85" s="137"/>
      <c r="N85" s="137"/>
      <c r="O85" s="137"/>
      <c r="P85" s="137"/>
      <c r="Q85" s="141"/>
      <c r="R85" s="141"/>
      <c r="S85" s="141"/>
      <c r="T85" s="189"/>
      <c r="U85" s="213"/>
      <c r="V85" s="189"/>
      <c r="W85" s="189"/>
      <c r="X85" s="214"/>
      <c r="Y85" s="189"/>
      <c r="Z85" s="215"/>
      <c r="AA85" s="325">
        <v>8356.6816966494898</v>
      </c>
      <c r="AB85" s="325">
        <v>8393.4549698482006</v>
      </c>
      <c r="AC85" s="325">
        <v>9157.5638061628306</v>
      </c>
      <c r="AD85" s="378">
        <v>10633.521325313</v>
      </c>
      <c r="AE85" s="325">
        <v>141749.043474473</v>
      </c>
      <c r="AF85" s="325">
        <v>143963.227135341</v>
      </c>
      <c r="AG85" s="325">
        <v>143844.64849066199</v>
      </c>
      <c r="AH85" s="378">
        <v>146610.13642800099</v>
      </c>
      <c r="AI85" s="325">
        <v>13846.6126505133</v>
      </c>
      <c r="AJ85" s="325">
        <v>13316.016515310699</v>
      </c>
      <c r="AK85" s="325">
        <v>13470.419741952701</v>
      </c>
      <c r="AL85" s="378">
        <v>14247.200272947501</v>
      </c>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9"/>
    </row>
    <row r="86" spans="1:66" s="287" customFormat="1" ht="15.75" x14ac:dyDescent="0.25">
      <c r="A86" s="290"/>
      <c r="B86" s="270"/>
      <c r="C86" s="141"/>
      <c r="D86" s="137"/>
      <c r="E86" s="137"/>
      <c r="F86" s="137"/>
      <c r="G86" s="137"/>
      <c r="H86" s="137"/>
      <c r="I86" s="141"/>
      <c r="J86" s="141"/>
      <c r="K86" s="141"/>
      <c r="L86" s="137"/>
      <c r="M86" s="137"/>
      <c r="N86" s="137"/>
      <c r="O86" s="137"/>
      <c r="P86" s="137"/>
      <c r="Q86" s="141"/>
      <c r="R86" s="141"/>
      <c r="S86" s="141"/>
      <c r="T86" s="189"/>
      <c r="U86" s="213"/>
      <c r="V86" s="189"/>
      <c r="W86" s="189"/>
      <c r="X86" s="214"/>
      <c r="Y86" s="189"/>
      <c r="Z86" s="215"/>
      <c r="AA86" s="325"/>
      <c r="AB86" s="325"/>
      <c r="AC86" s="325"/>
      <c r="AD86" s="388"/>
      <c r="AE86" s="325"/>
      <c r="AF86" s="325"/>
      <c r="AG86" s="325"/>
      <c r="AH86" s="388"/>
      <c r="AI86" s="325"/>
      <c r="AJ86" s="325"/>
      <c r="AK86" s="325"/>
      <c r="AL86" s="3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9"/>
    </row>
    <row r="87" spans="1:66" s="287" customFormat="1" ht="60" x14ac:dyDescent="0.25">
      <c r="A87" s="290"/>
      <c r="B87" s="87" t="s">
        <v>260</v>
      </c>
      <c r="C87" s="141" t="s">
        <v>891</v>
      </c>
      <c r="D87" s="137" t="s">
        <v>676</v>
      </c>
      <c r="E87" s="137" t="s">
        <v>660</v>
      </c>
      <c r="F87" s="137" t="s">
        <v>692</v>
      </c>
      <c r="G87" s="137" t="s">
        <v>350</v>
      </c>
      <c r="H87" s="137" t="s">
        <v>384</v>
      </c>
      <c r="I87" s="141" t="s">
        <v>889</v>
      </c>
      <c r="J87" s="141" t="s">
        <v>297</v>
      </c>
      <c r="K87" s="141" t="s">
        <v>333</v>
      </c>
      <c r="L87" s="137" t="s">
        <v>694</v>
      </c>
      <c r="M87" s="137"/>
      <c r="N87" s="137" t="s">
        <v>285</v>
      </c>
      <c r="O87" s="137" t="s">
        <v>286</v>
      </c>
      <c r="P87" s="137" t="s">
        <v>409</v>
      </c>
      <c r="Q87" s="141" t="s">
        <v>695</v>
      </c>
      <c r="R87" s="141"/>
      <c r="S87" s="141" t="s">
        <v>970</v>
      </c>
      <c r="T87" s="189"/>
      <c r="U87" s="213"/>
      <c r="V87" s="189"/>
      <c r="W87" s="189"/>
      <c r="X87" s="214"/>
      <c r="Y87" s="189"/>
      <c r="Z87" s="215"/>
      <c r="AA87" s="764" t="s">
        <v>833</v>
      </c>
      <c r="AB87" s="765"/>
      <c r="AC87" s="765"/>
      <c r="AD87" s="766"/>
      <c r="AE87" s="767" t="s">
        <v>834</v>
      </c>
      <c r="AF87" s="765"/>
      <c r="AG87" s="765"/>
      <c r="AH87" s="766"/>
      <c r="AI87" s="767" t="s">
        <v>835</v>
      </c>
      <c r="AJ87" s="765"/>
      <c r="AK87" s="765"/>
      <c r="AL87" s="766"/>
      <c r="AM87" s="767" t="s">
        <v>836</v>
      </c>
      <c r="AN87" s="765"/>
      <c r="AO87" s="765"/>
      <c r="AP87" s="766"/>
      <c r="AQ87" s="767" t="s">
        <v>837</v>
      </c>
      <c r="AR87" s="765"/>
      <c r="AS87" s="765"/>
      <c r="AT87" s="766"/>
      <c r="AU87" s="288"/>
      <c r="AV87" s="288"/>
      <c r="AW87" s="288"/>
      <c r="AX87" s="288"/>
      <c r="AY87" s="288"/>
      <c r="AZ87" s="288"/>
      <c r="BA87" s="288"/>
      <c r="BB87" s="288"/>
      <c r="BC87" s="288"/>
      <c r="BD87" s="288"/>
      <c r="BE87" s="288"/>
      <c r="BF87" s="288"/>
      <c r="BG87" s="288"/>
      <c r="BH87" s="288"/>
      <c r="BI87" s="288"/>
      <c r="BJ87" s="288"/>
      <c r="BK87" s="288"/>
      <c r="BL87" s="288"/>
      <c r="BM87" s="288"/>
      <c r="BN87" s="289"/>
    </row>
    <row r="88" spans="1:66" s="287" customFormat="1" ht="15.75" x14ac:dyDescent="0.25">
      <c r="A88" s="290"/>
      <c r="C88" s="141"/>
      <c r="D88" s="137"/>
      <c r="E88" s="137"/>
      <c r="F88" s="137"/>
      <c r="G88" s="137"/>
      <c r="H88" s="137"/>
      <c r="I88" s="141"/>
      <c r="J88" s="141"/>
      <c r="K88" s="141"/>
      <c r="L88" s="137"/>
      <c r="M88" s="137"/>
      <c r="N88" s="137"/>
      <c r="O88" s="137"/>
      <c r="P88" s="137"/>
      <c r="Q88" s="141"/>
      <c r="R88" s="141"/>
      <c r="S88" s="141"/>
      <c r="T88" s="189"/>
      <c r="U88" s="213"/>
      <c r="V88" s="189"/>
      <c r="W88" s="189"/>
      <c r="X88" s="214"/>
      <c r="Y88" s="189"/>
      <c r="Z88" s="215"/>
      <c r="AA88" s="696">
        <v>2010</v>
      </c>
      <c r="AB88" s="713">
        <v>2011</v>
      </c>
      <c r="AC88" s="713">
        <v>2012</v>
      </c>
      <c r="AD88" s="713">
        <v>2013</v>
      </c>
      <c r="AE88" s="713">
        <v>2010</v>
      </c>
      <c r="AF88" s="713">
        <v>2011</v>
      </c>
      <c r="AG88" s="713">
        <v>2012</v>
      </c>
      <c r="AH88" s="713">
        <v>2013</v>
      </c>
      <c r="AI88" s="713">
        <v>2010</v>
      </c>
      <c r="AJ88" s="713">
        <v>2011</v>
      </c>
      <c r="AK88" s="713">
        <v>2012</v>
      </c>
      <c r="AL88" s="713">
        <v>2013</v>
      </c>
      <c r="AM88" s="713">
        <v>2010</v>
      </c>
      <c r="AN88" s="713">
        <v>2011</v>
      </c>
      <c r="AO88" s="713">
        <v>2012</v>
      </c>
      <c r="AP88" s="713">
        <v>2013</v>
      </c>
      <c r="AQ88" s="713">
        <v>2010</v>
      </c>
      <c r="AR88" s="713">
        <v>2011</v>
      </c>
      <c r="AS88" s="713">
        <v>2012</v>
      </c>
      <c r="AT88" s="713">
        <v>2013</v>
      </c>
      <c r="AU88" s="288"/>
      <c r="AV88" s="288"/>
      <c r="AW88" s="288"/>
      <c r="AX88" s="288"/>
      <c r="AY88" s="288"/>
      <c r="AZ88" s="288"/>
      <c r="BA88" s="288"/>
      <c r="BB88" s="288"/>
      <c r="BC88" s="288"/>
      <c r="BD88" s="288"/>
      <c r="BE88" s="288"/>
      <c r="BF88" s="288"/>
      <c r="BG88" s="288"/>
      <c r="BH88" s="288"/>
      <c r="BI88" s="288"/>
      <c r="BJ88" s="288"/>
      <c r="BK88" s="288"/>
      <c r="BL88" s="288"/>
      <c r="BM88" s="288"/>
      <c r="BN88" s="289"/>
    </row>
    <row r="89" spans="1:66" s="287" customFormat="1" ht="15.75" x14ac:dyDescent="0.25">
      <c r="A89" s="290"/>
      <c r="B89" s="269" t="s">
        <v>3</v>
      </c>
      <c r="C89" s="141"/>
      <c r="D89" s="137"/>
      <c r="E89" s="137"/>
      <c r="F89" s="137"/>
      <c r="G89" s="137"/>
      <c r="H89" s="137"/>
      <c r="I89" s="141"/>
      <c r="J89" s="141"/>
      <c r="K89" s="141"/>
      <c r="L89" s="137"/>
      <c r="M89" s="137"/>
      <c r="N89" s="137"/>
      <c r="O89" s="137"/>
      <c r="P89" s="137"/>
      <c r="Q89" s="141"/>
      <c r="R89" s="141"/>
      <c r="S89" s="141"/>
      <c r="T89" s="189"/>
      <c r="U89" s="213"/>
      <c r="V89" s="189"/>
      <c r="W89" s="189"/>
      <c r="X89" s="214"/>
      <c r="Y89" s="189"/>
      <c r="Z89" s="215"/>
      <c r="AA89" s="379">
        <v>1285817.51132848</v>
      </c>
      <c r="AB89" s="379">
        <v>1326106.82475063</v>
      </c>
      <c r="AC89" s="379">
        <v>1375248.11926753</v>
      </c>
      <c r="AD89" s="380">
        <v>1403286.6191584701</v>
      </c>
      <c r="AE89" s="379">
        <v>19552.296290202801</v>
      </c>
      <c r="AF89" s="379">
        <v>19590.037879634099</v>
      </c>
      <c r="AG89" s="379">
        <v>19975.032004418499</v>
      </c>
      <c r="AH89" s="380">
        <v>21396.5522906796</v>
      </c>
      <c r="AI89" s="379">
        <v>23800.828818311002</v>
      </c>
      <c r="AJ89" s="379">
        <v>23005.230432377401</v>
      </c>
      <c r="AK89" s="379">
        <v>22637.004577000502</v>
      </c>
      <c r="AL89" s="380">
        <v>22274.487781084201</v>
      </c>
      <c r="AM89" s="379">
        <v>20144.570217015898</v>
      </c>
      <c r="AN89" s="379">
        <v>18847.9211978317</v>
      </c>
      <c r="AO89" s="379">
        <v>17679.319699436201</v>
      </c>
      <c r="AP89" s="380">
        <v>16401.8733322066</v>
      </c>
      <c r="AQ89" s="379">
        <v>12481.745955498</v>
      </c>
      <c r="AR89" s="379">
        <v>10266.8527760078</v>
      </c>
      <c r="AS89" s="379">
        <v>9062.7412360839298</v>
      </c>
      <c r="AT89" s="380">
        <v>7889.9120113096096</v>
      </c>
      <c r="AU89" s="288"/>
      <c r="AV89" s="288"/>
      <c r="AW89" s="288"/>
      <c r="AX89" s="288"/>
      <c r="AY89" s="288"/>
      <c r="AZ89" s="288"/>
      <c r="BA89" s="288"/>
      <c r="BB89" s="288"/>
      <c r="BC89" s="288"/>
      <c r="BD89" s="288"/>
      <c r="BE89" s="288"/>
      <c r="BF89" s="288"/>
      <c r="BG89" s="288"/>
      <c r="BH89" s="288"/>
      <c r="BI89" s="288"/>
      <c r="BJ89" s="288"/>
      <c r="BK89" s="288"/>
      <c r="BL89" s="288"/>
      <c r="BM89" s="288"/>
      <c r="BN89" s="289"/>
    </row>
    <row r="90" spans="1:66" s="287" customFormat="1" ht="15.75" x14ac:dyDescent="0.25">
      <c r="A90" s="290"/>
      <c r="B90" s="269" t="s">
        <v>4</v>
      </c>
      <c r="C90" s="141"/>
      <c r="D90" s="137"/>
      <c r="E90" s="137"/>
      <c r="F90" s="137"/>
      <c r="G90" s="137"/>
      <c r="H90" s="137"/>
      <c r="I90" s="141"/>
      <c r="J90" s="141"/>
      <c r="K90" s="141"/>
      <c r="L90" s="137"/>
      <c r="M90" s="137"/>
      <c r="N90" s="137"/>
      <c r="O90" s="137"/>
      <c r="P90" s="137"/>
      <c r="Q90" s="141"/>
      <c r="R90" s="141"/>
      <c r="S90" s="141"/>
      <c r="T90" s="189"/>
      <c r="U90" s="213"/>
      <c r="V90" s="189"/>
      <c r="W90" s="189"/>
      <c r="X90" s="214"/>
      <c r="Y90" s="189"/>
      <c r="Z90" s="215"/>
      <c r="AA90" s="379">
        <v>699453.76907079841</v>
      </c>
      <c r="AB90" s="379">
        <v>724373.59134666936</v>
      </c>
      <c r="AC90" s="379">
        <v>768839.9692410198</v>
      </c>
      <c r="AD90" s="381">
        <v>780493.09330494446</v>
      </c>
      <c r="AE90" s="379">
        <v>10720.449492814223</v>
      </c>
      <c r="AF90" s="379">
        <v>10354.683833487848</v>
      </c>
      <c r="AG90" s="379">
        <v>10222.607918166992</v>
      </c>
      <c r="AH90" s="381">
        <v>9898.4800668725384</v>
      </c>
      <c r="AI90" s="379">
        <v>25609.884826412719</v>
      </c>
      <c r="AJ90" s="379">
        <v>26850.324477777009</v>
      </c>
      <c r="AK90" s="379">
        <v>27538.364166741383</v>
      </c>
      <c r="AL90" s="381">
        <v>27242.504720148179</v>
      </c>
      <c r="AM90" s="379">
        <v>93972.71284005401</v>
      </c>
      <c r="AN90" s="379">
        <v>97876.389930176912</v>
      </c>
      <c r="AO90" s="379">
        <v>102045.65259479165</v>
      </c>
      <c r="AP90" s="381">
        <v>101333.89621819888</v>
      </c>
      <c r="AQ90" s="379">
        <v>36930.603350044708</v>
      </c>
      <c r="AR90" s="379">
        <v>34025.798269478983</v>
      </c>
      <c r="AS90" s="379">
        <v>32601.185906442039</v>
      </c>
      <c r="AT90" s="381">
        <v>30615.799270894338</v>
      </c>
      <c r="AU90" s="288"/>
      <c r="AV90" s="288"/>
      <c r="AW90" s="288"/>
      <c r="AX90" s="288"/>
      <c r="AY90" s="288"/>
      <c r="AZ90" s="288"/>
      <c r="BA90" s="288"/>
      <c r="BB90" s="288"/>
      <c r="BC90" s="288"/>
      <c r="BD90" s="288"/>
      <c r="BE90" s="288"/>
      <c r="BF90" s="288"/>
      <c r="BG90" s="288"/>
      <c r="BH90" s="288"/>
      <c r="BI90" s="288"/>
      <c r="BJ90" s="288"/>
      <c r="BK90" s="288"/>
      <c r="BL90" s="288"/>
      <c r="BM90" s="288"/>
      <c r="BN90" s="289"/>
    </row>
    <row r="91" spans="1:66" s="287" customFormat="1" ht="15.75" x14ac:dyDescent="0.25">
      <c r="A91" s="290"/>
      <c r="B91" s="269" t="s">
        <v>5</v>
      </c>
      <c r="C91" s="141"/>
      <c r="D91" s="137"/>
      <c r="E91" s="137"/>
      <c r="F91" s="137"/>
      <c r="G91" s="137"/>
      <c r="H91" s="137"/>
      <c r="I91" s="141"/>
      <c r="J91" s="141"/>
      <c r="K91" s="141"/>
      <c r="L91" s="137"/>
      <c r="M91" s="137"/>
      <c r="N91" s="137"/>
      <c r="O91" s="137"/>
      <c r="P91" s="137"/>
      <c r="Q91" s="141"/>
      <c r="R91" s="141"/>
      <c r="S91" s="141"/>
      <c r="T91" s="189"/>
      <c r="U91" s="213"/>
      <c r="V91" s="189"/>
      <c r="W91" s="189"/>
      <c r="X91" s="214"/>
      <c r="Y91" s="189"/>
      <c r="Z91" s="215"/>
      <c r="AA91" s="379">
        <v>976832.20166958496</v>
      </c>
      <c r="AB91" s="379">
        <v>987780.41800927604</v>
      </c>
      <c r="AC91" s="379">
        <v>1006557.16073698</v>
      </c>
      <c r="AD91" s="381">
        <v>1024437.67901707</v>
      </c>
      <c r="AE91" s="379">
        <v>5266.1173023393003</v>
      </c>
      <c r="AF91" s="379">
        <v>5163.9021784816596</v>
      </c>
      <c r="AG91" s="379">
        <v>5837.7870722482103</v>
      </c>
      <c r="AH91" s="381">
        <v>6940.7825210495203</v>
      </c>
      <c r="AI91" s="379">
        <v>43086.448506397901</v>
      </c>
      <c r="AJ91" s="379">
        <v>48446.507667517297</v>
      </c>
      <c r="AK91" s="379">
        <v>51727.665648021801</v>
      </c>
      <c r="AL91" s="381">
        <v>54885.4011398156</v>
      </c>
      <c r="AM91" s="379">
        <v>11301.799621624899</v>
      </c>
      <c r="AN91" s="379">
        <v>11379.465605932999</v>
      </c>
      <c r="AO91" s="379">
        <v>11276.976331842099</v>
      </c>
      <c r="AP91" s="381">
        <v>11336.7718780177</v>
      </c>
      <c r="AQ91" s="379">
        <v>5615.62227756005</v>
      </c>
      <c r="AR91" s="379">
        <v>4995.9491776969298</v>
      </c>
      <c r="AS91" s="379">
        <v>4673.6254137648502</v>
      </c>
      <c r="AT91" s="381">
        <v>4488.3772442783402</v>
      </c>
      <c r="AU91" s="288"/>
      <c r="AV91" s="288"/>
      <c r="AW91" s="288"/>
      <c r="AX91" s="288"/>
      <c r="AY91" s="288"/>
      <c r="AZ91" s="288"/>
      <c r="BA91" s="288"/>
      <c r="BB91" s="288"/>
      <c r="BC91" s="288"/>
      <c r="BD91" s="288"/>
      <c r="BE91" s="288"/>
      <c r="BF91" s="288"/>
      <c r="BG91" s="288"/>
      <c r="BH91" s="288"/>
      <c r="BI91" s="288"/>
      <c r="BJ91" s="288"/>
      <c r="BK91" s="288"/>
      <c r="BL91" s="288"/>
      <c r="BM91" s="288"/>
      <c r="BN91" s="289"/>
    </row>
    <row r="92" spans="1:66" s="287" customFormat="1" ht="15.75" x14ac:dyDescent="0.25">
      <c r="A92" s="290"/>
      <c r="B92" s="269" t="s">
        <v>251</v>
      </c>
      <c r="C92" s="141"/>
      <c r="D92" s="137"/>
      <c r="E92" s="137"/>
      <c r="F92" s="137"/>
      <c r="G92" s="137"/>
      <c r="H92" s="137"/>
      <c r="I92" s="141"/>
      <c r="J92" s="141"/>
      <c r="K92" s="141"/>
      <c r="L92" s="137"/>
      <c r="M92" s="137"/>
      <c r="N92" s="137"/>
      <c r="O92" s="137"/>
      <c r="P92" s="137"/>
      <c r="Q92" s="141"/>
      <c r="R92" s="141"/>
      <c r="S92" s="141"/>
      <c r="T92" s="189"/>
      <c r="U92" s="213"/>
      <c r="V92" s="189"/>
      <c r="W92" s="189"/>
      <c r="X92" s="214"/>
      <c r="Y92" s="189"/>
      <c r="Z92" s="215"/>
      <c r="AA92" s="379">
        <v>833710.74668446602</v>
      </c>
      <c r="AB92" s="379">
        <v>838363.57001323404</v>
      </c>
      <c r="AC92" s="379">
        <v>854072.98436046205</v>
      </c>
      <c r="AD92" s="381">
        <v>842903.60808428796</v>
      </c>
      <c r="AE92" s="379">
        <v>13904.5409566504</v>
      </c>
      <c r="AF92" s="379">
        <v>14026.099892796399</v>
      </c>
      <c r="AG92" s="379">
        <v>14945.7081946936</v>
      </c>
      <c r="AH92" s="381">
        <v>16648.6135489154</v>
      </c>
      <c r="AI92" s="379">
        <v>13086.3243967165</v>
      </c>
      <c r="AJ92" s="379">
        <v>13847.4897433882</v>
      </c>
      <c r="AK92" s="379">
        <v>14984.5236927039</v>
      </c>
      <c r="AL92" s="381">
        <v>15847.5504407599</v>
      </c>
      <c r="AM92" s="379">
        <v>91701.662356386703</v>
      </c>
      <c r="AN92" s="379">
        <v>90863.397624384597</v>
      </c>
      <c r="AO92" s="379">
        <v>94520.723643994803</v>
      </c>
      <c r="AP92" s="381">
        <v>89790.484516011697</v>
      </c>
      <c r="AQ92" s="379">
        <v>11389.702271272699</v>
      </c>
      <c r="AR92" s="379">
        <v>10698.4963102768</v>
      </c>
      <c r="AS92" s="379">
        <v>10324.2178741236</v>
      </c>
      <c r="AT92" s="381">
        <v>9224.2558790964595</v>
      </c>
      <c r="AU92" s="288"/>
      <c r="AV92" s="288"/>
      <c r="AW92" s="288"/>
      <c r="AX92" s="288"/>
      <c r="AY92" s="288"/>
      <c r="AZ92" s="288"/>
      <c r="BA92" s="288"/>
      <c r="BB92" s="288"/>
      <c r="BC92" s="288"/>
      <c r="BD92" s="288"/>
      <c r="BE92" s="288"/>
      <c r="BF92" s="288"/>
      <c r="BG92" s="288"/>
      <c r="BH92" s="288"/>
      <c r="BI92" s="288"/>
      <c r="BJ92" s="288"/>
      <c r="BK92" s="288"/>
      <c r="BL92" s="288"/>
      <c r="BM92" s="288"/>
      <c r="BN92" s="289"/>
    </row>
    <row r="93" spans="1:66" s="287" customFormat="1" ht="15.75" x14ac:dyDescent="0.25">
      <c r="A93" s="290"/>
      <c r="B93" s="269" t="s">
        <v>252</v>
      </c>
      <c r="C93" s="141"/>
      <c r="D93" s="137"/>
      <c r="E93" s="137"/>
      <c r="F93" s="137"/>
      <c r="G93" s="137"/>
      <c r="H93" s="137"/>
      <c r="I93" s="141"/>
      <c r="J93" s="141"/>
      <c r="K93" s="141"/>
      <c r="L93" s="137"/>
      <c r="M93" s="137"/>
      <c r="N93" s="137"/>
      <c r="O93" s="137"/>
      <c r="P93" s="137"/>
      <c r="Q93" s="141"/>
      <c r="R93" s="141"/>
      <c r="S93" s="141"/>
      <c r="T93" s="189"/>
      <c r="U93" s="213"/>
      <c r="V93" s="189"/>
      <c r="W93" s="189"/>
      <c r="X93" s="214"/>
      <c r="Y93" s="189"/>
      <c r="Z93" s="215"/>
      <c r="AA93" s="379">
        <v>856921.27430624899</v>
      </c>
      <c r="AB93" s="379">
        <v>875500.940677398</v>
      </c>
      <c r="AC93" s="379">
        <v>870687.07477869897</v>
      </c>
      <c r="AD93" s="381">
        <v>920007.082254112</v>
      </c>
      <c r="AE93" s="379">
        <v>7774.8299249915299</v>
      </c>
      <c r="AF93" s="379">
        <v>8373.3463195042805</v>
      </c>
      <c r="AG93" s="379">
        <v>8016.7870583624999</v>
      </c>
      <c r="AH93" s="381">
        <v>8736.8046895369807</v>
      </c>
      <c r="AI93" s="379">
        <v>27306.001002758101</v>
      </c>
      <c r="AJ93" s="379">
        <v>27211.3937408848</v>
      </c>
      <c r="AK93" s="379">
        <v>26315.7940798046</v>
      </c>
      <c r="AL93" s="381">
        <v>26940.749226993499</v>
      </c>
      <c r="AM93" s="379">
        <v>47279.308992904596</v>
      </c>
      <c r="AN93" s="379">
        <v>51957.8670955286</v>
      </c>
      <c r="AO93" s="379">
        <v>52366.392705362799</v>
      </c>
      <c r="AP93" s="381">
        <v>57632.530597906203</v>
      </c>
      <c r="AQ93" s="379">
        <v>30503.7183030466</v>
      </c>
      <c r="AR93" s="379">
        <v>28959.905904879899</v>
      </c>
      <c r="AS93" s="379">
        <v>26662.878126216801</v>
      </c>
      <c r="AT93" s="381">
        <v>24949.871388036801</v>
      </c>
      <c r="AU93" s="288"/>
      <c r="AV93" s="288"/>
      <c r="AW93" s="288"/>
      <c r="AX93" s="288"/>
      <c r="AY93" s="288"/>
      <c r="AZ93" s="288"/>
      <c r="BA93" s="288"/>
      <c r="BB93" s="288"/>
      <c r="BC93" s="288"/>
      <c r="BD93" s="288"/>
      <c r="BE93" s="288"/>
      <c r="BF93" s="288"/>
      <c r="BG93" s="288"/>
      <c r="BH93" s="288"/>
      <c r="BI93" s="288"/>
      <c r="BJ93" s="288"/>
      <c r="BK93" s="288"/>
      <c r="BL93" s="288"/>
      <c r="BM93" s="288"/>
      <c r="BN93" s="289"/>
    </row>
    <row r="94" spans="1:66" s="287" customFormat="1" ht="15.75" x14ac:dyDescent="0.25">
      <c r="A94" s="290"/>
      <c r="B94" s="269" t="s">
        <v>6</v>
      </c>
      <c r="C94" s="141"/>
      <c r="D94" s="137"/>
      <c r="E94" s="137"/>
      <c r="F94" s="137"/>
      <c r="G94" s="137"/>
      <c r="H94" s="137"/>
      <c r="I94" s="141"/>
      <c r="J94" s="141"/>
      <c r="K94" s="141"/>
      <c r="L94" s="137"/>
      <c r="M94" s="137"/>
      <c r="N94" s="137"/>
      <c r="O94" s="137"/>
      <c r="P94" s="137"/>
      <c r="Q94" s="141"/>
      <c r="R94" s="141"/>
      <c r="S94" s="141"/>
      <c r="T94" s="189"/>
      <c r="U94" s="213"/>
      <c r="V94" s="189"/>
      <c r="W94" s="189"/>
      <c r="X94" s="214"/>
      <c r="Y94" s="189"/>
      <c r="Z94" s="215"/>
      <c r="AA94" s="379">
        <v>249484.18700617299</v>
      </c>
      <c r="AB94" s="379">
        <v>253219.53199166499</v>
      </c>
      <c r="AC94" s="379">
        <v>251582.03986762301</v>
      </c>
      <c r="AD94" s="381">
        <v>253555.029326972</v>
      </c>
      <c r="AE94" s="379">
        <v>68651.343131938804</v>
      </c>
      <c r="AF94" s="379">
        <v>69505.037484715707</v>
      </c>
      <c r="AG94" s="379">
        <v>66585.822185113793</v>
      </c>
      <c r="AH94" s="381">
        <v>63032.228849279098</v>
      </c>
      <c r="AI94" s="379">
        <v>8990.3232556669209</v>
      </c>
      <c r="AJ94" s="379">
        <v>9475.3101018457801</v>
      </c>
      <c r="AK94" s="379">
        <v>10307.164344802901</v>
      </c>
      <c r="AL94" s="381">
        <v>12643.846975365001</v>
      </c>
      <c r="AM94" s="379">
        <v>13507.492598704701</v>
      </c>
      <c r="AN94" s="379">
        <v>12766.472813852301</v>
      </c>
      <c r="AO94" s="379">
        <v>12305.7847814543</v>
      </c>
      <c r="AP94" s="381">
        <v>12074.436680070299</v>
      </c>
      <c r="AQ94" s="379">
        <v>7023.3831139743497</v>
      </c>
      <c r="AR94" s="379">
        <v>6143.6964906727699</v>
      </c>
      <c r="AS94" s="379">
        <v>5240.95454492917</v>
      </c>
      <c r="AT94" s="381">
        <v>4406.8915077635402</v>
      </c>
      <c r="AU94" s="288"/>
      <c r="AV94" s="288"/>
      <c r="AW94" s="288"/>
      <c r="AX94" s="288"/>
      <c r="AY94" s="288"/>
      <c r="AZ94" s="288"/>
      <c r="BA94" s="288"/>
      <c r="BB94" s="288"/>
      <c r="BC94" s="288"/>
      <c r="BD94" s="288"/>
      <c r="BE94" s="288"/>
      <c r="BF94" s="288"/>
      <c r="BG94" s="288"/>
      <c r="BH94" s="288"/>
      <c r="BI94" s="288"/>
      <c r="BJ94" s="288"/>
      <c r="BK94" s="288"/>
      <c r="BL94" s="288"/>
      <c r="BM94" s="288"/>
      <c r="BN94" s="289"/>
    </row>
    <row r="95" spans="1:66" s="287" customFormat="1" ht="15.75" x14ac:dyDescent="0.25">
      <c r="A95" s="290"/>
      <c r="B95" s="269" t="s">
        <v>8</v>
      </c>
      <c r="C95" s="141"/>
      <c r="D95" s="137"/>
      <c r="E95" s="137"/>
      <c r="F95" s="137"/>
      <c r="G95" s="137"/>
      <c r="H95" s="137"/>
      <c r="I95" s="141"/>
      <c r="J95" s="141"/>
      <c r="K95" s="141"/>
      <c r="L95" s="137"/>
      <c r="M95" s="137"/>
      <c r="N95" s="137"/>
      <c r="O95" s="137"/>
      <c r="P95" s="137"/>
      <c r="Q95" s="141"/>
      <c r="R95" s="141"/>
      <c r="S95" s="141"/>
      <c r="T95" s="189"/>
      <c r="U95" s="213"/>
      <c r="V95" s="189"/>
      <c r="W95" s="189"/>
      <c r="X95" s="214"/>
      <c r="Y95" s="189"/>
      <c r="Z95" s="215"/>
      <c r="AA95" s="379">
        <v>157674.96230531501</v>
      </c>
      <c r="AB95" s="379">
        <v>159669.52390809401</v>
      </c>
      <c r="AC95" s="379">
        <v>163525.038633794</v>
      </c>
      <c r="AD95" s="381">
        <v>165838.26300290099</v>
      </c>
      <c r="AE95" s="379">
        <v>5384.1630666378796</v>
      </c>
      <c r="AF95" s="379">
        <v>5238.4240940607997</v>
      </c>
      <c r="AG95" s="379">
        <v>5019.7590392524698</v>
      </c>
      <c r="AH95" s="381">
        <v>4721.3748760662602</v>
      </c>
      <c r="AI95" s="379">
        <v>7148.9565863277903</v>
      </c>
      <c r="AJ95" s="379">
        <v>8365.9747336202709</v>
      </c>
      <c r="AK95" s="379">
        <v>9308.0019429493204</v>
      </c>
      <c r="AL95" s="381">
        <v>11332.541828798399</v>
      </c>
      <c r="AM95" s="379">
        <v>61276.917550648999</v>
      </c>
      <c r="AN95" s="379">
        <v>59999.277613975501</v>
      </c>
      <c r="AO95" s="379">
        <v>58170.836385746603</v>
      </c>
      <c r="AP95" s="381">
        <v>55785.060676039</v>
      </c>
      <c r="AQ95" s="379">
        <v>6895.1413877569303</v>
      </c>
      <c r="AR95" s="379">
        <v>6313.8980843122199</v>
      </c>
      <c r="AS95" s="379">
        <v>5917.0316678952104</v>
      </c>
      <c r="AT95" s="381">
        <v>5661.0042831171804</v>
      </c>
      <c r="AU95" s="288"/>
      <c r="AV95" s="288"/>
      <c r="AW95" s="288"/>
      <c r="AX95" s="288"/>
      <c r="AY95" s="288"/>
      <c r="AZ95" s="288"/>
      <c r="BA95" s="288"/>
      <c r="BB95" s="288"/>
      <c r="BC95" s="288"/>
      <c r="BD95" s="288"/>
      <c r="BE95" s="288"/>
      <c r="BF95" s="288"/>
      <c r="BG95" s="288"/>
      <c r="BH95" s="288"/>
      <c r="BI95" s="288"/>
      <c r="BJ95" s="288"/>
      <c r="BK95" s="288"/>
      <c r="BL95" s="288"/>
      <c r="BM95" s="288"/>
      <c r="BN95" s="289"/>
    </row>
    <row r="96" spans="1:66" s="287" customFormat="1" ht="15.75" x14ac:dyDescent="0.25">
      <c r="A96" s="290"/>
      <c r="B96" s="269" t="s">
        <v>7</v>
      </c>
      <c r="C96" s="141"/>
      <c r="D96" s="137"/>
      <c r="E96" s="137"/>
      <c r="F96" s="137"/>
      <c r="G96" s="137"/>
      <c r="H96" s="137"/>
      <c r="I96" s="141"/>
      <c r="J96" s="141"/>
      <c r="K96" s="141"/>
      <c r="L96" s="137"/>
      <c r="M96" s="137"/>
      <c r="N96" s="137"/>
      <c r="O96" s="137"/>
      <c r="P96" s="137"/>
      <c r="Q96" s="141"/>
      <c r="R96" s="141"/>
      <c r="S96" s="141"/>
      <c r="T96" s="189"/>
      <c r="U96" s="213"/>
      <c r="V96" s="189"/>
      <c r="W96" s="189"/>
      <c r="X96" s="214"/>
      <c r="Y96" s="189"/>
      <c r="Z96" s="215"/>
      <c r="AA96" s="379">
        <v>187621.07663122701</v>
      </c>
      <c r="AB96" s="379">
        <v>192540.05381832601</v>
      </c>
      <c r="AC96" s="379">
        <v>198759.32406957599</v>
      </c>
      <c r="AD96" s="381">
        <v>204548.87850085701</v>
      </c>
      <c r="AE96" s="379">
        <v>5346.6788134299104</v>
      </c>
      <c r="AF96" s="379">
        <v>5581.7773692534502</v>
      </c>
      <c r="AG96" s="379">
        <v>5503.96600481521</v>
      </c>
      <c r="AH96" s="381">
        <v>5585.9100643167303</v>
      </c>
      <c r="AI96" s="379">
        <v>5876.7996640002902</v>
      </c>
      <c r="AJ96" s="379">
        <v>5478.59540941265</v>
      </c>
      <c r="AK96" s="379">
        <v>5410.4323571178502</v>
      </c>
      <c r="AL96" s="381">
        <v>5401.2229741598703</v>
      </c>
      <c r="AM96" s="379">
        <v>24960.1491132056</v>
      </c>
      <c r="AN96" s="379">
        <v>24521.331765471401</v>
      </c>
      <c r="AO96" s="379">
        <v>24743.983699036798</v>
      </c>
      <c r="AP96" s="381">
        <v>25656.6108215153</v>
      </c>
      <c r="AQ96" s="379">
        <v>8250.51305346351</v>
      </c>
      <c r="AR96" s="379">
        <v>8214.7898768551804</v>
      </c>
      <c r="AS96" s="379">
        <v>8710.2218883819096</v>
      </c>
      <c r="AT96" s="381">
        <v>9422.1066363699392</v>
      </c>
      <c r="AU96" s="288"/>
      <c r="AV96" s="288"/>
      <c r="AW96" s="288"/>
      <c r="AX96" s="288"/>
      <c r="AY96" s="288"/>
      <c r="AZ96" s="288"/>
      <c r="BA96" s="288"/>
      <c r="BB96" s="288"/>
      <c r="BC96" s="288"/>
      <c r="BD96" s="288"/>
      <c r="BE96" s="288"/>
      <c r="BF96" s="288"/>
      <c r="BG96" s="288"/>
      <c r="BH96" s="288"/>
      <c r="BI96" s="288"/>
      <c r="BJ96" s="288"/>
      <c r="BK96" s="288"/>
      <c r="BL96" s="288"/>
      <c r="BM96" s="288"/>
      <c r="BN96" s="289"/>
    </row>
    <row r="97" spans="1:66" s="287" customFormat="1" ht="15.75" x14ac:dyDescent="0.25">
      <c r="A97" s="290"/>
      <c r="B97" s="270" t="s">
        <v>800</v>
      </c>
      <c r="C97" s="141"/>
      <c r="D97" s="137"/>
      <c r="E97" s="137"/>
      <c r="F97" s="137"/>
      <c r="G97" s="137"/>
      <c r="H97" s="137"/>
      <c r="I97" s="141"/>
      <c r="J97" s="141"/>
      <c r="K97" s="141"/>
      <c r="L97" s="137"/>
      <c r="M97" s="137"/>
      <c r="N97" s="137"/>
      <c r="O97" s="137"/>
      <c r="P97" s="137"/>
      <c r="Q97" s="141"/>
      <c r="R97" s="141"/>
      <c r="S97" s="141"/>
      <c r="T97" s="189"/>
      <c r="U97" s="213"/>
      <c r="V97" s="189"/>
      <c r="W97" s="189"/>
      <c r="X97" s="214"/>
      <c r="Y97" s="189"/>
      <c r="Z97" s="215"/>
      <c r="AA97" s="379">
        <v>90783.020957776898</v>
      </c>
      <c r="AB97" s="379">
        <v>89945.824542480696</v>
      </c>
      <c r="AC97" s="379">
        <v>88165.769494968903</v>
      </c>
      <c r="AD97" s="381">
        <v>90948.238041531804</v>
      </c>
      <c r="AE97" s="379">
        <v>2372.2286069443198</v>
      </c>
      <c r="AF97" s="379">
        <v>2282.82603039065</v>
      </c>
      <c r="AG97" s="379">
        <v>2371.2545812212202</v>
      </c>
      <c r="AH97" s="381">
        <v>2739.3451458890599</v>
      </c>
      <c r="AI97" s="379">
        <v>2725.6427743399299</v>
      </c>
      <c r="AJ97" s="379">
        <v>2743.5170157417301</v>
      </c>
      <c r="AK97" s="379">
        <v>2806.8636492095302</v>
      </c>
      <c r="AL97" s="381">
        <v>3046.7695340155701</v>
      </c>
      <c r="AM97" s="379">
        <v>63558.253980459303</v>
      </c>
      <c r="AN97" s="379">
        <v>66051.807464647703</v>
      </c>
      <c r="AO97" s="379">
        <v>68731.635805843194</v>
      </c>
      <c r="AP97" s="381">
        <v>70611.593444550104</v>
      </c>
      <c r="AQ97" s="379">
        <v>4513.0265574388704</v>
      </c>
      <c r="AR97" s="379">
        <v>4648.6229246213297</v>
      </c>
      <c r="AS97" s="379">
        <v>4397.0999214614003</v>
      </c>
      <c r="AT97" s="381">
        <v>4144.9567753390202</v>
      </c>
      <c r="AU97" s="288"/>
      <c r="AV97" s="288"/>
      <c r="AW97" s="288"/>
      <c r="AX97" s="288"/>
      <c r="AY97" s="288"/>
      <c r="AZ97" s="288"/>
      <c r="BA97" s="288"/>
      <c r="BB97" s="288"/>
      <c r="BC97" s="288"/>
      <c r="BD97" s="288"/>
      <c r="BE97" s="288"/>
      <c r="BF97" s="288"/>
      <c r="BG97" s="288"/>
      <c r="BH97" s="288"/>
      <c r="BI97" s="288"/>
      <c r="BJ97" s="288"/>
      <c r="BK97" s="288"/>
      <c r="BL97" s="288"/>
      <c r="BM97" s="288"/>
      <c r="BN97" s="289"/>
    </row>
    <row r="98" spans="1:66" s="287" customFormat="1" ht="15.75" x14ac:dyDescent="0.25">
      <c r="A98" s="290"/>
      <c r="B98" s="270"/>
      <c r="C98" s="141"/>
      <c r="D98" s="137"/>
      <c r="E98" s="137"/>
      <c r="F98" s="137"/>
      <c r="G98" s="137"/>
      <c r="H98" s="137"/>
      <c r="I98" s="141"/>
      <c r="J98" s="141"/>
      <c r="K98" s="141"/>
      <c r="L98" s="137"/>
      <c r="M98" s="137"/>
      <c r="N98" s="137"/>
      <c r="O98" s="137"/>
      <c r="P98" s="137"/>
      <c r="Q98" s="141"/>
      <c r="R98" s="141"/>
      <c r="S98" s="141"/>
      <c r="T98" s="189"/>
      <c r="U98" s="213"/>
      <c r="V98" s="189"/>
      <c r="W98" s="189"/>
      <c r="X98" s="214"/>
      <c r="Y98" s="189"/>
      <c r="Z98" s="215"/>
      <c r="AA98" s="382"/>
      <c r="AB98" s="382"/>
      <c r="AC98" s="382"/>
      <c r="AD98" s="382"/>
      <c r="AE98" s="382"/>
      <c r="AF98" s="382"/>
      <c r="AG98" s="382"/>
      <c r="AH98" s="383"/>
      <c r="AI98" s="382"/>
      <c r="AJ98" s="382"/>
      <c r="AK98" s="382"/>
      <c r="AL98" s="383"/>
      <c r="AM98" s="382"/>
      <c r="AN98" s="382"/>
      <c r="AO98" s="382"/>
      <c r="AP98" s="383"/>
      <c r="AQ98" s="382"/>
      <c r="AR98" s="382"/>
      <c r="AS98" s="382"/>
      <c r="AT98" s="383"/>
      <c r="AU98" s="288"/>
      <c r="AV98" s="288"/>
      <c r="AW98" s="288"/>
      <c r="AX98" s="288"/>
      <c r="AY98" s="288"/>
      <c r="AZ98" s="288"/>
      <c r="BA98" s="288"/>
      <c r="BB98" s="288"/>
      <c r="BC98" s="288"/>
      <c r="BD98" s="288"/>
      <c r="BE98" s="288"/>
      <c r="BF98" s="288"/>
      <c r="BG98" s="288"/>
      <c r="BH98" s="288"/>
      <c r="BI98" s="288"/>
      <c r="BJ98" s="288"/>
      <c r="BK98" s="288"/>
      <c r="BL98" s="288"/>
      <c r="BM98" s="288"/>
      <c r="BN98" s="289"/>
    </row>
    <row r="99" spans="1:66" ht="15.75" x14ac:dyDescent="0.25">
      <c r="A99" s="94">
        <v>16</v>
      </c>
      <c r="B99" s="101" t="s">
        <v>175</v>
      </c>
      <c r="C99" s="130" t="s">
        <v>697</v>
      </c>
      <c r="D99" s="129" t="s">
        <v>676</v>
      </c>
      <c r="E99" s="129" t="s">
        <v>660</v>
      </c>
      <c r="F99" s="129" t="s">
        <v>692</v>
      </c>
      <c r="G99" s="129" t="s">
        <v>350</v>
      </c>
      <c r="H99" s="129" t="s">
        <v>672</v>
      </c>
      <c r="I99" s="130" t="s">
        <v>420</v>
      </c>
      <c r="J99" s="130" t="s">
        <v>350</v>
      </c>
      <c r="K99" s="130" t="s">
        <v>350</v>
      </c>
      <c r="L99" s="129" t="s">
        <v>350</v>
      </c>
      <c r="M99" s="129"/>
      <c r="N99" s="129" t="s">
        <v>285</v>
      </c>
      <c r="O99" s="129" t="s">
        <v>286</v>
      </c>
      <c r="P99" s="129" t="s">
        <v>480</v>
      </c>
      <c r="Q99" s="130" t="s">
        <v>698</v>
      </c>
      <c r="R99" s="130"/>
      <c r="S99" s="130" t="s">
        <v>953</v>
      </c>
      <c r="T99" s="189"/>
      <c r="U99" s="213"/>
      <c r="V99" s="189" t="s">
        <v>794</v>
      </c>
      <c r="W99" s="189"/>
      <c r="X99" s="214"/>
      <c r="Y99" s="189"/>
      <c r="Z99" s="21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6"/>
    </row>
    <row r="100" spans="1:66" ht="15.75" x14ac:dyDescent="0.25">
      <c r="A100" s="94">
        <v>17</v>
      </c>
      <c r="B100" s="101" t="s">
        <v>176</v>
      </c>
      <c r="C100" s="130" t="s">
        <v>699</v>
      </c>
      <c r="D100" s="129" t="s">
        <v>676</v>
      </c>
      <c r="E100" s="129" t="s">
        <v>660</v>
      </c>
      <c r="F100" s="129" t="s">
        <v>692</v>
      </c>
      <c r="G100" s="129" t="s">
        <v>350</v>
      </c>
      <c r="H100" s="129" t="s">
        <v>672</v>
      </c>
      <c r="I100" s="130" t="s">
        <v>420</v>
      </c>
      <c r="J100" s="130" t="s">
        <v>350</v>
      </c>
      <c r="K100" s="130" t="s">
        <v>350</v>
      </c>
      <c r="L100" s="129" t="s">
        <v>350</v>
      </c>
      <c r="M100" s="129"/>
      <c r="N100" s="129" t="s">
        <v>285</v>
      </c>
      <c r="O100" s="129" t="s">
        <v>286</v>
      </c>
      <c r="P100" s="129" t="s">
        <v>480</v>
      </c>
      <c r="Q100" s="130" t="s">
        <v>700</v>
      </c>
      <c r="R100" s="130"/>
      <c r="S100" s="130" t="s">
        <v>953</v>
      </c>
      <c r="T100" s="189"/>
      <c r="U100" s="213"/>
      <c r="V100" s="189" t="s">
        <v>794</v>
      </c>
      <c r="W100" s="189"/>
      <c r="X100" s="214"/>
      <c r="Y100" s="189"/>
      <c r="Z100" s="21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6"/>
    </row>
    <row r="101" spans="1:66" ht="15.75" x14ac:dyDescent="0.25">
      <c r="A101" s="94">
        <v>18</v>
      </c>
      <c r="B101" s="101" t="s">
        <v>177</v>
      </c>
      <c r="C101" s="130" t="s">
        <v>701</v>
      </c>
      <c r="D101" s="129" t="s">
        <v>676</v>
      </c>
      <c r="E101" s="129" t="s">
        <v>660</v>
      </c>
      <c r="F101" s="129" t="s">
        <v>692</v>
      </c>
      <c r="G101" s="129" t="s">
        <v>350</v>
      </c>
      <c r="H101" s="129" t="s">
        <v>672</v>
      </c>
      <c r="I101" s="130" t="s">
        <v>420</v>
      </c>
      <c r="J101" s="130" t="s">
        <v>350</v>
      </c>
      <c r="K101" s="130" t="s">
        <v>350</v>
      </c>
      <c r="L101" s="129" t="s">
        <v>350</v>
      </c>
      <c r="M101" s="129"/>
      <c r="N101" s="129" t="s">
        <v>285</v>
      </c>
      <c r="O101" s="129" t="s">
        <v>286</v>
      </c>
      <c r="P101" s="129" t="s">
        <v>480</v>
      </c>
      <c r="Q101" s="130" t="s">
        <v>702</v>
      </c>
      <c r="R101" s="130"/>
      <c r="S101" s="130" t="s">
        <v>953</v>
      </c>
      <c r="T101" s="189"/>
      <c r="U101" s="213"/>
      <c r="V101" s="189" t="s">
        <v>794</v>
      </c>
      <c r="W101" s="189"/>
      <c r="X101" s="214"/>
      <c r="Y101" s="189"/>
      <c r="Z101" s="21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6"/>
    </row>
    <row r="102" spans="1:66" ht="15.75" x14ac:dyDescent="0.25">
      <c r="A102" s="94">
        <v>19</v>
      </c>
      <c r="B102" s="101" t="s">
        <v>178</v>
      </c>
      <c r="C102" s="130" t="s">
        <v>703</v>
      </c>
      <c r="D102" s="129" t="s">
        <v>676</v>
      </c>
      <c r="E102" s="129" t="s">
        <v>660</v>
      </c>
      <c r="F102" s="129" t="s">
        <v>692</v>
      </c>
      <c r="G102" s="129" t="s">
        <v>350</v>
      </c>
      <c r="H102" s="129" t="s">
        <v>672</v>
      </c>
      <c r="I102" s="130" t="s">
        <v>331</v>
      </c>
      <c r="J102" s="130" t="s">
        <v>332</v>
      </c>
      <c r="K102" s="130" t="s">
        <v>333</v>
      </c>
      <c r="L102" s="129" t="s">
        <v>334</v>
      </c>
      <c r="M102" s="129"/>
      <c r="N102" s="129" t="s">
        <v>285</v>
      </c>
      <c r="O102" s="129" t="s">
        <v>286</v>
      </c>
      <c r="P102" s="129" t="s">
        <v>409</v>
      </c>
      <c r="Q102" s="130" t="s">
        <v>350</v>
      </c>
      <c r="R102" s="130"/>
      <c r="S102" s="130" t="s">
        <v>953</v>
      </c>
      <c r="T102" s="189"/>
      <c r="U102" s="213"/>
      <c r="V102" s="189" t="s">
        <v>794</v>
      </c>
      <c r="W102" s="189"/>
      <c r="X102" s="214"/>
      <c r="Y102" s="189"/>
      <c r="Z102" s="21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6"/>
    </row>
    <row r="103" spans="1:66" ht="15.75" x14ac:dyDescent="0.25">
      <c r="A103" s="94">
        <v>20</v>
      </c>
      <c r="B103" s="101" t="s">
        <v>179</v>
      </c>
      <c r="C103" s="130" t="s">
        <v>704</v>
      </c>
      <c r="D103" s="129" t="s">
        <v>676</v>
      </c>
      <c r="E103" s="129" t="s">
        <v>660</v>
      </c>
      <c r="F103" s="129" t="s">
        <v>692</v>
      </c>
      <c r="G103" s="129" t="s">
        <v>350</v>
      </c>
      <c r="H103" s="129" t="s">
        <v>672</v>
      </c>
      <c r="I103" s="130" t="s">
        <v>705</v>
      </c>
      <c r="J103" s="130" t="s">
        <v>350</v>
      </c>
      <c r="K103" s="130" t="s">
        <v>350</v>
      </c>
      <c r="L103" s="129" t="s">
        <v>350</v>
      </c>
      <c r="M103" s="129"/>
      <c r="N103" s="129" t="s">
        <v>285</v>
      </c>
      <c r="O103" s="129" t="s">
        <v>286</v>
      </c>
      <c r="P103" s="129" t="s">
        <v>480</v>
      </c>
      <c r="Q103" s="130" t="s">
        <v>350</v>
      </c>
      <c r="R103" s="130"/>
      <c r="S103" s="130" t="s">
        <v>953</v>
      </c>
      <c r="T103" s="189"/>
      <c r="U103" s="213"/>
      <c r="V103" s="189" t="s">
        <v>794</v>
      </c>
      <c r="W103" s="189"/>
      <c r="X103" s="214"/>
      <c r="Y103" s="189"/>
      <c r="Z103" s="21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6"/>
    </row>
    <row r="104" spans="1:66" ht="15.75" x14ac:dyDescent="0.25">
      <c r="A104" s="94">
        <v>21</v>
      </c>
      <c r="B104" s="101" t="s">
        <v>180</v>
      </c>
      <c r="C104" s="130" t="s">
        <v>706</v>
      </c>
      <c r="D104" s="129" t="s">
        <v>676</v>
      </c>
      <c r="E104" s="129" t="s">
        <v>660</v>
      </c>
      <c r="F104" s="129" t="s">
        <v>692</v>
      </c>
      <c r="G104" s="129" t="s">
        <v>350</v>
      </c>
      <c r="H104" s="129" t="s">
        <v>672</v>
      </c>
      <c r="I104" s="130" t="s">
        <v>420</v>
      </c>
      <c r="J104" s="130" t="s">
        <v>350</v>
      </c>
      <c r="K104" s="130" t="s">
        <v>350</v>
      </c>
      <c r="L104" s="129" t="s">
        <v>350</v>
      </c>
      <c r="M104" s="129"/>
      <c r="N104" s="129" t="s">
        <v>285</v>
      </c>
      <c r="O104" s="129" t="s">
        <v>286</v>
      </c>
      <c r="P104" s="129" t="s">
        <v>480</v>
      </c>
      <c r="Q104" s="130" t="s">
        <v>350</v>
      </c>
      <c r="R104" s="130"/>
      <c r="S104" s="130" t="s">
        <v>953</v>
      </c>
      <c r="T104" s="189"/>
      <c r="U104" s="213"/>
      <c r="V104" s="189" t="s">
        <v>794</v>
      </c>
      <c r="W104" s="189"/>
      <c r="X104" s="214"/>
      <c r="Y104" s="189"/>
      <c r="Z104" s="21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6"/>
    </row>
    <row r="105" spans="1:66" ht="15.75" x14ac:dyDescent="0.25">
      <c r="A105" s="94">
        <v>22</v>
      </c>
      <c r="B105" s="101" t="s">
        <v>181</v>
      </c>
      <c r="C105" s="130" t="s">
        <v>707</v>
      </c>
      <c r="D105" s="129" t="s">
        <v>676</v>
      </c>
      <c r="E105" s="129" t="s">
        <v>660</v>
      </c>
      <c r="F105" s="129" t="s">
        <v>692</v>
      </c>
      <c r="G105" s="129" t="s">
        <v>350</v>
      </c>
      <c r="H105" s="129" t="s">
        <v>672</v>
      </c>
      <c r="I105" s="130" t="s">
        <v>353</v>
      </c>
      <c r="J105" s="130" t="s">
        <v>332</v>
      </c>
      <c r="K105" s="130" t="s">
        <v>333</v>
      </c>
      <c r="L105" s="129" t="s">
        <v>334</v>
      </c>
      <c r="M105" s="129"/>
      <c r="N105" s="129" t="s">
        <v>285</v>
      </c>
      <c r="O105" s="129" t="s">
        <v>286</v>
      </c>
      <c r="P105" s="129" t="s">
        <v>480</v>
      </c>
      <c r="Q105" s="130" t="s">
        <v>350</v>
      </c>
      <c r="R105" s="130"/>
      <c r="S105" s="130" t="s">
        <v>953</v>
      </c>
      <c r="T105" s="189"/>
      <c r="U105" s="213"/>
      <c r="V105" s="189" t="s">
        <v>794</v>
      </c>
      <c r="W105" s="189"/>
      <c r="X105" s="214"/>
      <c r="Y105" s="189"/>
      <c r="Z105" s="21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6"/>
    </row>
    <row r="106" spans="1:66" ht="24" x14ac:dyDescent="0.25">
      <c r="A106" s="94">
        <v>23</v>
      </c>
      <c r="B106" s="101" t="s">
        <v>182</v>
      </c>
      <c r="C106" s="130" t="s">
        <v>708</v>
      </c>
      <c r="D106" s="129" t="s">
        <v>676</v>
      </c>
      <c r="E106" s="129" t="s">
        <v>660</v>
      </c>
      <c r="F106" s="129" t="s">
        <v>692</v>
      </c>
      <c r="G106" s="129" t="s">
        <v>350</v>
      </c>
      <c r="H106" s="129" t="s">
        <v>384</v>
      </c>
      <c r="I106" s="130" t="s">
        <v>709</v>
      </c>
      <c r="J106" s="130" t="s">
        <v>467</v>
      </c>
      <c r="K106" s="130" t="s">
        <v>350</v>
      </c>
      <c r="L106" s="129" t="s">
        <v>350</v>
      </c>
      <c r="M106" s="129"/>
      <c r="N106" s="129" t="s">
        <v>285</v>
      </c>
      <c r="O106" s="129" t="s">
        <v>286</v>
      </c>
      <c r="P106" s="129" t="s">
        <v>480</v>
      </c>
      <c r="Q106" s="130" t="s">
        <v>710</v>
      </c>
      <c r="R106" s="130"/>
      <c r="S106" s="130" t="s">
        <v>953</v>
      </c>
      <c r="T106" s="189"/>
      <c r="U106" s="213"/>
      <c r="V106" s="189" t="s">
        <v>794</v>
      </c>
      <c r="W106" s="189"/>
      <c r="X106" s="214"/>
      <c r="Y106" s="189"/>
      <c r="Z106" s="21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6"/>
    </row>
    <row r="107" spans="1:66" ht="15.75" x14ac:dyDescent="0.25">
      <c r="A107" s="147"/>
      <c r="B107" s="243"/>
      <c r="C107" s="121"/>
      <c r="D107" s="54"/>
      <c r="E107" s="54"/>
      <c r="F107" s="54"/>
      <c r="G107" s="54"/>
      <c r="H107" s="54"/>
      <c r="I107" s="121"/>
      <c r="J107" s="121"/>
      <c r="K107" s="121"/>
      <c r="L107" s="54"/>
      <c r="M107" s="54"/>
      <c r="N107" s="54"/>
      <c r="O107" s="54"/>
      <c r="P107" s="54"/>
      <c r="Q107" s="121"/>
      <c r="R107" s="121"/>
      <c r="S107" s="121"/>
      <c r="T107" s="227"/>
      <c r="U107" s="228"/>
      <c r="V107" s="227"/>
      <c r="W107" s="227"/>
      <c r="X107" s="229"/>
      <c r="Y107" s="227"/>
      <c r="Z107" s="230"/>
      <c r="AA107" s="63" t="s">
        <v>239</v>
      </c>
      <c r="AB107" s="63" t="s">
        <v>240</v>
      </c>
      <c r="AC107" s="63" t="s">
        <v>241</v>
      </c>
      <c r="AD107" s="63" t="s">
        <v>242</v>
      </c>
      <c r="AE107" s="63" t="s">
        <v>243</v>
      </c>
      <c r="AF107" s="63" t="s">
        <v>244</v>
      </c>
      <c r="AG107" s="63" t="s">
        <v>245</v>
      </c>
      <c r="AH107" s="63" t="s">
        <v>250</v>
      </c>
      <c r="AI107" s="63" t="s">
        <v>246</v>
      </c>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5"/>
    </row>
    <row r="108" spans="1:66" ht="24" x14ac:dyDescent="0.25">
      <c r="A108" s="94">
        <v>24</v>
      </c>
      <c r="B108" s="100" t="s">
        <v>183</v>
      </c>
      <c r="C108" s="130" t="s">
        <v>711</v>
      </c>
      <c r="D108" s="129" t="s">
        <v>676</v>
      </c>
      <c r="E108" s="129" t="s">
        <v>660</v>
      </c>
      <c r="F108" s="129" t="s">
        <v>692</v>
      </c>
      <c r="G108" s="129" t="s">
        <v>350</v>
      </c>
      <c r="H108" s="129" t="s">
        <v>384</v>
      </c>
      <c r="I108" s="130" t="s">
        <v>485</v>
      </c>
      <c r="J108" s="130" t="s">
        <v>712</v>
      </c>
      <c r="K108" s="130" t="s">
        <v>350</v>
      </c>
      <c r="L108" s="129" t="s">
        <v>350</v>
      </c>
      <c r="M108" s="129"/>
      <c r="N108" s="129" t="s">
        <v>285</v>
      </c>
      <c r="O108" s="129" t="s">
        <v>286</v>
      </c>
      <c r="P108" s="129" t="s">
        <v>480</v>
      </c>
      <c r="Q108" s="130" t="s">
        <v>713</v>
      </c>
      <c r="R108" s="130"/>
      <c r="S108" s="130" t="s">
        <v>953</v>
      </c>
      <c r="T108" s="189"/>
      <c r="U108" s="213"/>
      <c r="V108" s="189" t="s">
        <v>794</v>
      </c>
      <c r="W108" s="189"/>
      <c r="X108" s="214"/>
      <c r="Y108" s="189"/>
      <c r="Z108" s="215"/>
      <c r="AA108" s="44"/>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6"/>
    </row>
    <row r="109" spans="1:66" ht="24" x14ac:dyDescent="0.25">
      <c r="A109" s="94">
        <v>25</v>
      </c>
      <c r="B109" s="100" t="s">
        <v>184</v>
      </c>
      <c r="C109" s="130" t="s">
        <v>714</v>
      </c>
      <c r="D109" s="129" t="s">
        <v>676</v>
      </c>
      <c r="E109" s="129" t="s">
        <v>660</v>
      </c>
      <c r="F109" s="129" t="s">
        <v>692</v>
      </c>
      <c r="G109" s="129" t="s">
        <v>350</v>
      </c>
      <c r="H109" s="129" t="s">
        <v>306</v>
      </c>
      <c r="I109" s="130" t="s">
        <v>485</v>
      </c>
      <c r="J109" s="130" t="s">
        <v>712</v>
      </c>
      <c r="K109" s="130" t="s">
        <v>350</v>
      </c>
      <c r="L109" s="129" t="s">
        <v>350</v>
      </c>
      <c r="M109" s="129"/>
      <c r="N109" s="129" t="s">
        <v>285</v>
      </c>
      <c r="O109" s="129" t="s">
        <v>286</v>
      </c>
      <c r="P109" s="129" t="s">
        <v>480</v>
      </c>
      <c r="Q109" s="130" t="s">
        <v>715</v>
      </c>
      <c r="R109" s="130"/>
      <c r="S109" s="130"/>
      <c r="T109" s="189"/>
      <c r="U109" s="213" t="s">
        <v>794</v>
      </c>
      <c r="V109" s="189"/>
      <c r="W109" s="189"/>
      <c r="X109" s="214"/>
      <c r="Y109" s="189"/>
      <c r="Z109" s="215"/>
      <c r="AA109" s="44"/>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6"/>
    </row>
    <row r="110" spans="1:66" ht="15.75" x14ac:dyDescent="0.25">
      <c r="A110" s="94"/>
      <c r="B110" s="244">
        <v>2012</v>
      </c>
      <c r="C110" s="130"/>
      <c r="D110" s="129"/>
      <c r="E110" s="129"/>
      <c r="F110" s="129"/>
      <c r="G110" s="129"/>
      <c r="H110" s="129"/>
      <c r="I110" s="130"/>
      <c r="J110" s="130"/>
      <c r="K110" s="130"/>
      <c r="L110" s="129"/>
      <c r="M110" s="129"/>
      <c r="N110" s="129"/>
      <c r="O110" s="129"/>
      <c r="P110" s="129"/>
      <c r="Q110" s="130"/>
      <c r="R110" s="130"/>
      <c r="S110" s="130"/>
      <c r="T110" s="189"/>
      <c r="U110" s="213"/>
      <c r="V110" s="189"/>
      <c r="W110" s="189"/>
      <c r="X110" s="214"/>
      <c r="Y110" s="189"/>
      <c r="Z110" s="215"/>
      <c r="AA110" s="66">
        <v>321</v>
      </c>
      <c r="AB110" s="26">
        <v>212</v>
      </c>
      <c r="AC110" s="26">
        <v>556</v>
      </c>
      <c r="AD110" s="26">
        <v>214</v>
      </c>
      <c r="AE110" s="26">
        <v>256</v>
      </c>
      <c r="AF110" s="26">
        <v>436</v>
      </c>
      <c r="AG110" s="26">
        <v>233</v>
      </c>
      <c r="AH110" s="26">
        <v>128</v>
      </c>
      <c r="AI110" s="26">
        <v>719</v>
      </c>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6"/>
    </row>
    <row r="111" spans="1:66" ht="24" x14ac:dyDescent="0.25">
      <c r="A111" s="94">
        <v>26</v>
      </c>
      <c r="B111" s="100" t="s">
        <v>185</v>
      </c>
      <c r="C111" s="130" t="s">
        <v>716</v>
      </c>
      <c r="D111" s="129" t="s">
        <v>676</v>
      </c>
      <c r="E111" s="129" t="s">
        <v>660</v>
      </c>
      <c r="F111" s="129" t="s">
        <v>692</v>
      </c>
      <c r="G111" s="129" t="s">
        <v>350</v>
      </c>
      <c r="H111" s="129" t="s">
        <v>306</v>
      </c>
      <c r="I111" s="130" t="s">
        <v>717</v>
      </c>
      <c r="J111" s="130" t="s">
        <v>712</v>
      </c>
      <c r="K111" s="130" t="s">
        <v>350</v>
      </c>
      <c r="L111" s="129" t="s">
        <v>350</v>
      </c>
      <c r="M111" s="129"/>
      <c r="N111" s="129" t="s">
        <v>285</v>
      </c>
      <c r="O111" s="129" t="s">
        <v>286</v>
      </c>
      <c r="P111" s="129" t="s">
        <v>480</v>
      </c>
      <c r="Q111" s="130" t="s">
        <v>350</v>
      </c>
      <c r="R111" s="130"/>
      <c r="S111" s="130" t="s">
        <v>953</v>
      </c>
      <c r="T111" s="189"/>
      <c r="U111" s="213"/>
      <c r="V111" s="189" t="s">
        <v>794</v>
      </c>
      <c r="W111" s="189"/>
      <c r="X111" s="214"/>
      <c r="Y111" s="189"/>
      <c r="Z111" s="215"/>
      <c r="AA111" s="44"/>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6"/>
    </row>
    <row r="112" spans="1:66" ht="24" x14ac:dyDescent="0.25">
      <c r="A112" s="94">
        <v>27</v>
      </c>
      <c r="B112" s="100" t="s">
        <v>186</v>
      </c>
      <c r="C112" s="130" t="s">
        <v>718</v>
      </c>
      <c r="D112" s="129" t="s">
        <v>676</v>
      </c>
      <c r="E112" s="129" t="s">
        <v>660</v>
      </c>
      <c r="F112" s="129" t="s">
        <v>692</v>
      </c>
      <c r="G112" s="129" t="s">
        <v>350</v>
      </c>
      <c r="H112" s="129" t="s">
        <v>306</v>
      </c>
      <c r="I112" s="130" t="s">
        <v>353</v>
      </c>
      <c r="J112" s="130" t="s">
        <v>332</v>
      </c>
      <c r="K112" s="130" t="s">
        <v>333</v>
      </c>
      <c r="L112" s="129" t="s">
        <v>334</v>
      </c>
      <c r="M112" s="129"/>
      <c r="N112" s="129" t="s">
        <v>285</v>
      </c>
      <c r="O112" s="129" t="s">
        <v>286</v>
      </c>
      <c r="P112" s="129" t="s">
        <v>480</v>
      </c>
      <c r="Q112" s="130" t="s">
        <v>350</v>
      </c>
      <c r="R112" s="130"/>
      <c r="S112" s="130" t="s">
        <v>953</v>
      </c>
      <c r="T112" s="189"/>
      <c r="U112" s="213"/>
      <c r="V112" s="189" t="s">
        <v>794</v>
      </c>
      <c r="W112" s="189"/>
      <c r="X112" s="214"/>
      <c r="Y112" s="189"/>
      <c r="Z112" s="215"/>
      <c r="AA112" s="44"/>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6"/>
    </row>
    <row r="113" spans="1:66" ht="15.75" x14ac:dyDescent="0.25">
      <c r="A113" s="94">
        <v>28</v>
      </c>
      <c r="B113" s="100" t="s">
        <v>187</v>
      </c>
      <c r="C113" s="130" t="s">
        <v>719</v>
      </c>
      <c r="D113" s="129" t="s">
        <v>676</v>
      </c>
      <c r="E113" s="129" t="s">
        <v>660</v>
      </c>
      <c r="F113" s="129" t="s">
        <v>692</v>
      </c>
      <c r="G113" s="129" t="s">
        <v>350</v>
      </c>
      <c r="H113" s="129" t="s">
        <v>306</v>
      </c>
      <c r="I113" s="130" t="s">
        <v>331</v>
      </c>
      <c r="J113" s="130" t="s">
        <v>332</v>
      </c>
      <c r="K113" s="130" t="s">
        <v>333</v>
      </c>
      <c r="L113" s="129" t="s">
        <v>334</v>
      </c>
      <c r="M113" s="129"/>
      <c r="N113" s="129" t="s">
        <v>285</v>
      </c>
      <c r="O113" s="129" t="s">
        <v>286</v>
      </c>
      <c r="P113" s="129" t="s">
        <v>480</v>
      </c>
      <c r="Q113" s="130" t="s">
        <v>350</v>
      </c>
      <c r="R113" s="130"/>
      <c r="S113" s="130" t="s">
        <v>953</v>
      </c>
      <c r="T113" s="189"/>
      <c r="U113" s="213"/>
      <c r="V113" s="189" t="s">
        <v>794</v>
      </c>
      <c r="W113" s="189"/>
      <c r="X113" s="214"/>
      <c r="Y113" s="189"/>
      <c r="Z113" s="215"/>
      <c r="AA113" s="44"/>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6"/>
    </row>
    <row r="114" spans="1:66" ht="24" x14ac:dyDescent="0.25">
      <c r="A114" s="94">
        <v>29</v>
      </c>
      <c r="B114" s="100" t="s">
        <v>188</v>
      </c>
      <c r="C114" s="130" t="s">
        <v>719</v>
      </c>
      <c r="D114" s="129" t="s">
        <v>676</v>
      </c>
      <c r="E114" s="129" t="s">
        <v>660</v>
      </c>
      <c r="F114" s="129" t="s">
        <v>692</v>
      </c>
      <c r="G114" s="129" t="s">
        <v>350</v>
      </c>
      <c r="H114" s="129" t="s">
        <v>306</v>
      </c>
      <c r="I114" s="130" t="s">
        <v>717</v>
      </c>
      <c r="J114" s="130" t="s">
        <v>712</v>
      </c>
      <c r="K114" s="130" t="s">
        <v>350</v>
      </c>
      <c r="L114" s="129" t="s">
        <v>350</v>
      </c>
      <c r="M114" s="129"/>
      <c r="N114" s="129" t="s">
        <v>285</v>
      </c>
      <c r="O114" s="129" t="s">
        <v>286</v>
      </c>
      <c r="P114" s="129" t="s">
        <v>480</v>
      </c>
      <c r="Q114" s="130" t="s">
        <v>350</v>
      </c>
      <c r="R114" s="130"/>
      <c r="S114" s="130" t="s">
        <v>953</v>
      </c>
      <c r="T114" s="189"/>
      <c r="U114" s="213"/>
      <c r="V114" s="189" t="s">
        <v>794</v>
      </c>
      <c r="W114" s="189"/>
      <c r="X114" s="214"/>
      <c r="Y114" s="189"/>
      <c r="Z114" s="215"/>
      <c r="AA114" s="44"/>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6"/>
    </row>
    <row r="115" spans="1:66" ht="15.75" x14ac:dyDescent="0.25">
      <c r="A115" s="94">
        <v>30</v>
      </c>
      <c r="B115" s="100" t="s">
        <v>189</v>
      </c>
      <c r="C115" s="130" t="s">
        <v>719</v>
      </c>
      <c r="D115" s="129" t="s">
        <v>676</v>
      </c>
      <c r="E115" s="129" t="s">
        <v>660</v>
      </c>
      <c r="F115" s="129" t="s">
        <v>692</v>
      </c>
      <c r="G115" s="129" t="s">
        <v>350</v>
      </c>
      <c r="H115" s="129" t="s">
        <v>306</v>
      </c>
      <c r="I115" s="130" t="s">
        <v>720</v>
      </c>
      <c r="J115" s="130" t="s">
        <v>350</v>
      </c>
      <c r="K115" s="130" t="s">
        <v>350</v>
      </c>
      <c r="L115" s="129" t="s">
        <v>350</v>
      </c>
      <c r="M115" s="129"/>
      <c r="N115" s="129" t="s">
        <v>285</v>
      </c>
      <c r="O115" s="129" t="s">
        <v>286</v>
      </c>
      <c r="P115" s="129" t="s">
        <v>480</v>
      </c>
      <c r="Q115" s="130" t="s">
        <v>350</v>
      </c>
      <c r="R115" s="130"/>
      <c r="S115" s="130" t="s">
        <v>953</v>
      </c>
      <c r="T115" s="189"/>
      <c r="U115" s="213"/>
      <c r="V115" s="189" t="s">
        <v>794</v>
      </c>
      <c r="W115" s="189"/>
      <c r="X115" s="214"/>
      <c r="Y115" s="189"/>
      <c r="Z115" s="215"/>
      <c r="AA115" s="44"/>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6"/>
    </row>
    <row r="116" spans="1:66" ht="24" x14ac:dyDescent="0.25">
      <c r="A116" s="94">
        <v>31</v>
      </c>
      <c r="B116" s="100" t="s">
        <v>190</v>
      </c>
      <c r="C116" s="130" t="s">
        <v>476</v>
      </c>
      <c r="D116" s="129" t="s">
        <v>676</v>
      </c>
      <c r="E116" s="129" t="s">
        <v>660</v>
      </c>
      <c r="F116" s="129" t="s">
        <v>692</v>
      </c>
      <c r="G116" s="129" t="s">
        <v>350</v>
      </c>
      <c r="H116" s="129" t="s">
        <v>306</v>
      </c>
      <c r="I116" s="130" t="s">
        <v>485</v>
      </c>
      <c r="J116" s="130" t="s">
        <v>721</v>
      </c>
      <c r="K116" s="130" t="s">
        <v>350</v>
      </c>
      <c r="L116" s="129" t="s">
        <v>350</v>
      </c>
      <c r="M116" s="129"/>
      <c r="N116" s="129" t="s">
        <v>285</v>
      </c>
      <c r="O116" s="129" t="s">
        <v>286</v>
      </c>
      <c r="P116" s="129" t="s">
        <v>480</v>
      </c>
      <c r="Q116" s="130" t="s">
        <v>722</v>
      </c>
      <c r="R116" s="130"/>
      <c r="S116" s="130" t="s">
        <v>953</v>
      </c>
      <c r="T116" s="189"/>
      <c r="U116" s="213"/>
      <c r="V116" s="189" t="s">
        <v>794</v>
      </c>
      <c r="W116" s="189"/>
      <c r="X116" s="214"/>
      <c r="Y116" s="189"/>
      <c r="Z116" s="215"/>
      <c r="AA116" s="44"/>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6"/>
    </row>
    <row r="117" spans="1:66" ht="24" x14ac:dyDescent="0.25">
      <c r="A117" s="94">
        <v>32</v>
      </c>
      <c r="B117" s="100" t="s">
        <v>191</v>
      </c>
      <c r="C117" s="130" t="s">
        <v>723</v>
      </c>
      <c r="D117" s="129" t="s">
        <v>676</v>
      </c>
      <c r="E117" s="129" t="s">
        <v>660</v>
      </c>
      <c r="F117" s="129" t="s">
        <v>692</v>
      </c>
      <c r="G117" s="129" t="s">
        <v>350</v>
      </c>
      <c r="H117" s="129" t="s">
        <v>306</v>
      </c>
      <c r="I117" s="130" t="s">
        <v>478</v>
      </c>
      <c r="J117" s="130" t="s">
        <v>712</v>
      </c>
      <c r="K117" s="130" t="s">
        <v>350</v>
      </c>
      <c r="L117" s="129" t="s">
        <v>350</v>
      </c>
      <c r="M117" s="129"/>
      <c r="N117" s="129" t="s">
        <v>285</v>
      </c>
      <c r="O117" s="129" t="s">
        <v>286</v>
      </c>
      <c r="P117" s="129" t="s">
        <v>480</v>
      </c>
      <c r="Q117" s="130" t="s">
        <v>724</v>
      </c>
      <c r="R117" s="130"/>
      <c r="S117" s="130" t="s">
        <v>953</v>
      </c>
      <c r="T117" s="189"/>
      <c r="U117" s="213"/>
      <c r="V117" s="189" t="s">
        <v>794</v>
      </c>
      <c r="W117" s="189"/>
      <c r="X117" s="214"/>
      <c r="Y117" s="189"/>
      <c r="Z117" s="215"/>
      <c r="AA117" s="44"/>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6"/>
    </row>
    <row r="118" spans="1:66" ht="24" x14ac:dyDescent="0.25">
      <c r="A118" s="94">
        <v>33</v>
      </c>
      <c r="B118" s="100" t="s">
        <v>192</v>
      </c>
      <c r="C118" s="130" t="s">
        <v>725</v>
      </c>
      <c r="D118" s="129" t="s">
        <v>676</v>
      </c>
      <c r="E118" s="129" t="s">
        <v>660</v>
      </c>
      <c r="F118" s="129" t="s">
        <v>692</v>
      </c>
      <c r="G118" s="129" t="s">
        <v>350</v>
      </c>
      <c r="H118" s="129" t="s">
        <v>279</v>
      </c>
      <c r="I118" s="130" t="s">
        <v>478</v>
      </c>
      <c r="J118" s="130" t="s">
        <v>712</v>
      </c>
      <c r="K118" s="130" t="s">
        <v>350</v>
      </c>
      <c r="L118" s="129" t="s">
        <v>350</v>
      </c>
      <c r="M118" s="129"/>
      <c r="N118" s="129" t="s">
        <v>285</v>
      </c>
      <c r="O118" s="129" t="s">
        <v>286</v>
      </c>
      <c r="P118" s="129" t="s">
        <v>480</v>
      </c>
      <c r="Q118" s="130" t="s">
        <v>726</v>
      </c>
      <c r="R118" s="130"/>
      <c r="S118" s="130" t="s">
        <v>953</v>
      </c>
      <c r="T118" s="189"/>
      <c r="U118" s="213"/>
      <c r="V118" s="189" t="s">
        <v>794</v>
      </c>
      <c r="W118" s="189"/>
      <c r="X118" s="214"/>
      <c r="Y118" s="189"/>
      <c r="Z118" s="215"/>
      <c r="AA118" s="44"/>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6"/>
    </row>
    <row r="119" spans="1:66" ht="24" x14ac:dyDescent="0.25">
      <c r="A119" s="94">
        <v>34</v>
      </c>
      <c r="B119" s="129" t="s">
        <v>193</v>
      </c>
      <c r="C119" s="130" t="s">
        <v>727</v>
      </c>
      <c r="D119" s="129" t="s">
        <v>663</v>
      </c>
      <c r="E119" s="129" t="s">
        <v>569</v>
      </c>
      <c r="F119" s="129" t="s">
        <v>692</v>
      </c>
      <c r="G119" s="129" t="s">
        <v>350</v>
      </c>
      <c r="H119" s="129" t="s">
        <v>279</v>
      </c>
      <c r="I119" s="130" t="s">
        <v>331</v>
      </c>
      <c r="J119" s="130" t="s">
        <v>332</v>
      </c>
      <c r="K119" s="130" t="s">
        <v>333</v>
      </c>
      <c r="L119" s="129" t="s">
        <v>334</v>
      </c>
      <c r="M119" s="129"/>
      <c r="N119" s="129" t="s">
        <v>285</v>
      </c>
      <c r="O119" s="129" t="s">
        <v>286</v>
      </c>
      <c r="P119" s="129"/>
      <c r="Q119" s="130" t="s">
        <v>350</v>
      </c>
      <c r="R119" s="130"/>
      <c r="S119" s="130" t="s">
        <v>953</v>
      </c>
      <c r="T119" s="189"/>
      <c r="U119" s="213"/>
      <c r="V119" s="189" t="s">
        <v>794</v>
      </c>
      <c r="W119" s="189"/>
      <c r="X119" s="214"/>
      <c r="Y119" s="189"/>
      <c r="Z119" s="215"/>
      <c r="AA119" s="44"/>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6"/>
    </row>
    <row r="120" spans="1:66" ht="24" x14ac:dyDescent="0.25">
      <c r="A120" s="94">
        <v>35</v>
      </c>
      <c r="B120" s="129" t="s">
        <v>194</v>
      </c>
      <c r="C120" s="130" t="s">
        <v>728</v>
      </c>
      <c r="D120" s="129" t="s">
        <v>663</v>
      </c>
      <c r="E120" s="129" t="s">
        <v>569</v>
      </c>
      <c r="F120" s="129" t="s">
        <v>692</v>
      </c>
      <c r="G120" s="129" t="s">
        <v>350</v>
      </c>
      <c r="H120" s="129" t="s">
        <v>279</v>
      </c>
      <c r="I120" s="130" t="s">
        <v>353</v>
      </c>
      <c r="J120" s="130" t="s">
        <v>332</v>
      </c>
      <c r="K120" s="130" t="s">
        <v>333</v>
      </c>
      <c r="L120" s="129" t="s">
        <v>334</v>
      </c>
      <c r="M120" s="129"/>
      <c r="N120" s="129" t="s">
        <v>285</v>
      </c>
      <c r="O120" s="129" t="s">
        <v>286</v>
      </c>
      <c r="P120" s="129"/>
      <c r="Q120" s="130" t="s">
        <v>350</v>
      </c>
      <c r="R120" s="130"/>
      <c r="S120" s="130" t="s">
        <v>953</v>
      </c>
      <c r="T120" s="189"/>
      <c r="U120" s="213"/>
      <c r="V120" s="189" t="s">
        <v>794</v>
      </c>
      <c r="W120" s="189"/>
      <c r="X120" s="214"/>
      <c r="Y120" s="189"/>
      <c r="Z120" s="215"/>
      <c r="AA120" s="44"/>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6"/>
    </row>
    <row r="121" spans="1:66" ht="24" x14ac:dyDescent="0.25">
      <c r="A121" s="94">
        <v>36</v>
      </c>
      <c r="B121" s="129" t="s">
        <v>195</v>
      </c>
      <c r="C121" s="130" t="s">
        <v>729</v>
      </c>
      <c r="D121" s="129" t="s">
        <v>663</v>
      </c>
      <c r="E121" s="129" t="s">
        <v>569</v>
      </c>
      <c r="F121" s="129" t="s">
        <v>692</v>
      </c>
      <c r="G121" s="129" t="s">
        <v>350</v>
      </c>
      <c r="H121" s="129" t="s">
        <v>279</v>
      </c>
      <c r="I121" s="130" t="s">
        <v>353</v>
      </c>
      <c r="J121" s="130" t="s">
        <v>332</v>
      </c>
      <c r="K121" s="130" t="s">
        <v>333</v>
      </c>
      <c r="L121" s="129" t="s">
        <v>334</v>
      </c>
      <c r="M121" s="129"/>
      <c r="N121" s="129" t="s">
        <v>285</v>
      </c>
      <c r="O121" s="129" t="s">
        <v>286</v>
      </c>
      <c r="P121" s="129"/>
      <c r="Q121" s="130" t="s">
        <v>350</v>
      </c>
      <c r="R121" s="130"/>
      <c r="S121" s="130" t="s">
        <v>953</v>
      </c>
      <c r="T121" s="189"/>
      <c r="U121" s="213"/>
      <c r="V121" s="189" t="s">
        <v>794</v>
      </c>
      <c r="W121" s="189"/>
      <c r="X121" s="214"/>
      <c r="Y121" s="189"/>
      <c r="Z121" s="215"/>
      <c r="AA121" s="44"/>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6"/>
    </row>
    <row r="122" spans="1:66" ht="15.75" x14ac:dyDescent="0.25">
      <c r="A122" s="94">
        <v>37</v>
      </c>
      <c r="B122" s="129" t="s">
        <v>196</v>
      </c>
      <c r="C122" s="130" t="s">
        <v>730</v>
      </c>
      <c r="D122" s="129" t="s">
        <v>663</v>
      </c>
      <c r="E122" s="129" t="s">
        <v>569</v>
      </c>
      <c r="F122" s="129" t="s">
        <v>692</v>
      </c>
      <c r="G122" s="129" t="s">
        <v>350</v>
      </c>
      <c r="H122" s="129" t="s">
        <v>672</v>
      </c>
      <c r="I122" s="130" t="s">
        <v>731</v>
      </c>
      <c r="J122" s="130" t="s">
        <v>350</v>
      </c>
      <c r="K122" s="130" t="s">
        <v>350</v>
      </c>
      <c r="L122" s="129" t="s">
        <v>350</v>
      </c>
      <c r="M122" s="129"/>
      <c r="N122" s="129" t="s">
        <v>285</v>
      </c>
      <c r="O122" s="129" t="s">
        <v>286</v>
      </c>
      <c r="P122" s="129" t="s">
        <v>285</v>
      </c>
      <c r="Q122" s="130" t="s">
        <v>286</v>
      </c>
      <c r="R122" s="130"/>
      <c r="S122" s="130" t="s">
        <v>953</v>
      </c>
      <c r="T122" s="189"/>
      <c r="U122" s="213"/>
      <c r="V122" s="189" t="s">
        <v>794</v>
      </c>
      <c r="W122" s="189"/>
      <c r="X122" s="214"/>
      <c r="Y122" s="189"/>
      <c r="Z122" s="215"/>
      <c r="AA122" s="44"/>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6"/>
    </row>
    <row r="123" spans="1:66" ht="24" x14ac:dyDescent="0.25">
      <c r="A123" s="94">
        <v>38</v>
      </c>
      <c r="B123" s="100" t="s">
        <v>197</v>
      </c>
      <c r="C123" s="130" t="s">
        <v>732</v>
      </c>
      <c r="D123" s="129" t="s">
        <v>663</v>
      </c>
      <c r="E123" s="129" t="s">
        <v>660</v>
      </c>
      <c r="F123" s="129" t="s">
        <v>692</v>
      </c>
      <c r="G123" s="129" t="s">
        <v>350</v>
      </c>
      <c r="H123" s="129" t="s">
        <v>279</v>
      </c>
      <c r="I123" s="130" t="s">
        <v>731</v>
      </c>
      <c r="J123" s="130" t="s">
        <v>350</v>
      </c>
      <c r="K123" s="130" t="s">
        <v>350</v>
      </c>
      <c r="L123" s="129" t="s">
        <v>350</v>
      </c>
      <c r="M123" s="129"/>
      <c r="N123" s="129" t="s">
        <v>285</v>
      </c>
      <c r="O123" s="129" t="s">
        <v>286</v>
      </c>
      <c r="P123" s="129"/>
      <c r="Q123" s="130" t="s">
        <v>350</v>
      </c>
      <c r="R123" s="130"/>
      <c r="S123" s="130" t="s">
        <v>971</v>
      </c>
      <c r="T123" s="189"/>
      <c r="U123" s="213"/>
      <c r="V123" s="189" t="s">
        <v>794</v>
      </c>
      <c r="W123" s="189"/>
      <c r="X123" s="214"/>
      <c r="Y123" s="189"/>
      <c r="Z123" s="215"/>
      <c r="AA123" s="44"/>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6"/>
    </row>
    <row r="124" spans="1:66" s="424" customFormat="1" ht="36" x14ac:dyDescent="0.25">
      <c r="A124" s="420">
        <v>39</v>
      </c>
      <c r="B124" s="429" t="s">
        <v>198</v>
      </c>
      <c r="C124" s="414" t="s">
        <v>733</v>
      </c>
      <c r="D124" s="413"/>
      <c r="E124" s="413" t="s">
        <v>660</v>
      </c>
      <c r="F124" s="413" t="s">
        <v>692</v>
      </c>
      <c r="G124" s="413" t="s">
        <v>350</v>
      </c>
      <c r="H124" s="413" t="s">
        <v>384</v>
      </c>
      <c r="I124" s="414" t="s">
        <v>401</v>
      </c>
      <c r="J124" s="414" t="s">
        <v>402</v>
      </c>
      <c r="K124" s="414" t="s">
        <v>350</v>
      </c>
      <c r="L124" s="413" t="s">
        <v>350</v>
      </c>
      <c r="M124" s="413"/>
      <c r="N124" s="413" t="s">
        <v>734</v>
      </c>
      <c r="O124" s="413" t="s">
        <v>286</v>
      </c>
      <c r="P124" s="413"/>
      <c r="Q124" s="414" t="s">
        <v>735</v>
      </c>
      <c r="R124" s="414"/>
      <c r="S124" s="414" t="s">
        <v>953</v>
      </c>
      <c r="T124" s="393" t="s">
        <v>794</v>
      </c>
      <c r="U124" s="394"/>
      <c r="V124" s="393" t="s">
        <v>794</v>
      </c>
      <c r="W124" s="393"/>
      <c r="X124" s="395"/>
      <c r="Y124" s="393"/>
      <c r="Z124" s="396"/>
      <c r="AA124" s="430"/>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2"/>
      <c r="AY124" s="422"/>
      <c r="AZ124" s="422"/>
      <c r="BA124" s="422"/>
      <c r="BB124" s="422"/>
      <c r="BC124" s="422"/>
      <c r="BD124" s="422"/>
      <c r="BE124" s="422"/>
      <c r="BF124" s="422"/>
      <c r="BG124" s="422"/>
      <c r="BH124" s="422"/>
      <c r="BI124" s="422"/>
      <c r="BJ124" s="422"/>
      <c r="BK124" s="422"/>
      <c r="BL124" s="422"/>
      <c r="BM124" s="422"/>
      <c r="BN124" s="423"/>
    </row>
    <row r="125" spans="1:66" s="424" customFormat="1" ht="24" x14ac:dyDescent="0.25">
      <c r="A125" s="420">
        <v>40</v>
      </c>
      <c r="B125" s="429" t="s">
        <v>199</v>
      </c>
      <c r="C125" s="414" t="s">
        <v>736</v>
      </c>
      <c r="D125" s="413"/>
      <c r="E125" s="413" t="s">
        <v>660</v>
      </c>
      <c r="F125" s="413" t="s">
        <v>692</v>
      </c>
      <c r="G125" s="413" t="s">
        <v>350</v>
      </c>
      <c r="H125" s="413" t="s">
        <v>672</v>
      </c>
      <c r="I125" s="414" t="s">
        <v>401</v>
      </c>
      <c r="J125" s="414" t="s">
        <v>402</v>
      </c>
      <c r="K125" s="414" t="s">
        <v>350</v>
      </c>
      <c r="L125" s="413" t="s">
        <v>350</v>
      </c>
      <c r="M125" s="413"/>
      <c r="N125" s="413" t="s">
        <v>734</v>
      </c>
      <c r="O125" s="413" t="s">
        <v>286</v>
      </c>
      <c r="P125" s="413"/>
      <c r="Q125" s="414" t="s">
        <v>735</v>
      </c>
      <c r="R125" s="414"/>
      <c r="S125" s="414" t="s">
        <v>953</v>
      </c>
      <c r="T125" s="393" t="s">
        <v>794</v>
      </c>
      <c r="U125" s="394"/>
      <c r="V125" s="393" t="s">
        <v>794</v>
      </c>
      <c r="W125" s="393"/>
      <c r="X125" s="395"/>
      <c r="Y125" s="393"/>
      <c r="Z125" s="396"/>
      <c r="AA125" s="430"/>
      <c r="AB125" s="422"/>
      <c r="AC125" s="422"/>
      <c r="AD125" s="422"/>
      <c r="AE125" s="422"/>
      <c r="AF125" s="422"/>
      <c r="AG125" s="422"/>
      <c r="AH125" s="422"/>
      <c r="AI125" s="422"/>
      <c r="AJ125" s="422"/>
      <c r="AK125" s="422"/>
      <c r="AL125" s="422"/>
      <c r="AM125" s="422"/>
      <c r="AN125" s="422"/>
      <c r="AO125" s="422"/>
      <c r="AP125" s="422"/>
      <c r="AQ125" s="422"/>
      <c r="AR125" s="422"/>
      <c r="AS125" s="422"/>
      <c r="AT125" s="422"/>
      <c r="AU125" s="422"/>
      <c r="AV125" s="422"/>
      <c r="AW125" s="422"/>
      <c r="AX125" s="422"/>
      <c r="AY125" s="422"/>
      <c r="AZ125" s="422"/>
      <c r="BA125" s="422"/>
      <c r="BB125" s="422"/>
      <c r="BC125" s="422"/>
      <c r="BD125" s="422"/>
      <c r="BE125" s="422"/>
      <c r="BF125" s="422"/>
      <c r="BG125" s="422"/>
      <c r="BH125" s="422"/>
      <c r="BI125" s="422"/>
      <c r="BJ125" s="422"/>
      <c r="BK125" s="422"/>
      <c r="BL125" s="422"/>
      <c r="BM125" s="422"/>
      <c r="BN125" s="423"/>
    </row>
    <row r="126" spans="1:66" ht="15.75" x14ac:dyDescent="0.25">
      <c r="A126" s="147"/>
      <c r="B126" s="245"/>
      <c r="C126" s="196"/>
      <c r="D126" s="246"/>
      <c r="E126" s="246"/>
      <c r="F126" s="246"/>
      <c r="G126" s="246"/>
      <c r="H126" s="246"/>
      <c r="I126" s="196"/>
      <c r="J126" s="196"/>
      <c r="K126" s="196"/>
      <c r="L126" s="246"/>
      <c r="M126" s="246"/>
      <c r="N126" s="246"/>
      <c r="O126" s="246"/>
      <c r="P126" s="246"/>
      <c r="Q126" s="196"/>
      <c r="R126" s="196"/>
      <c r="S126" s="121"/>
      <c r="T126" s="227"/>
      <c r="U126" s="228"/>
      <c r="V126" s="227"/>
      <c r="W126" s="227"/>
      <c r="X126" s="229"/>
      <c r="Y126" s="227"/>
      <c r="Z126" s="230"/>
      <c r="AA126" s="67" t="s">
        <v>227</v>
      </c>
      <c r="AB126" s="68" t="s">
        <v>228</v>
      </c>
      <c r="AC126" s="68" t="s">
        <v>229</v>
      </c>
      <c r="AD126" s="68" t="s">
        <v>230</v>
      </c>
      <c r="AE126" s="68" t="s">
        <v>231</v>
      </c>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5"/>
    </row>
    <row r="127" spans="1:66" ht="15.75" x14ac:dyDescent="0.25">
      <c r="A127" s="94">
        <v>41</v>
      </c>
      <c r="B127" s="17" t="s">
        <v>200</v>
      </c>
      <c r="C127" s="146" t="s">
        <v>737</v>
      </c>
      <c r="D127" s="142"/>
      <c r="E127" s="142" t="s">
        <v>350</v>
      </c>
      <c r="F127" s="142" t="s">
        <v>738</v>
      </c>
      <c r="G127" s="142" t="s">
        <v>350</v>
      </c>
      <c r="H127" s="142" t="s">
        <v>384</v>
      </c>
      <c r="I127" s="146" t="s">
        <v>739</v>
      </c>
      <c r="J127" s="146" t="s">
        <v>350</v>
      </c>
      <c r="K127" s="146" t="s">
        <v>350</v>
      </c>
      <c r="L127" s="142" t="s">
        <v>350</v>
      </c>
      <c r="M127" s="142"/>
      <c r="N127" s="142" t="s">
        <v>734</v>
      </c>
      <c r="O127" s="142" t="s">
        <v>286</v>
      </c>
      <c r="P127" s="142"/>
      <c r="Q127" s="146" t="s">
        <v>350</v>
      </c>
      <c r="R127" s="146"/>
      <c r="S127" s="146" t="s">
        <v>972</v>
      </c>
      <c r="T127" s="189" t="s">
        <v>794</v>
      </c>
      <c r="U127" s="213" t="s">
        <v>794</v>
      </c>
      <c r="V127" s="189"/>
      <c r="W127" s="189"/>
      <c r="X127" s="214"/>
      <c r="Y127" s="189"/>
      <c r="Z127" s="215"/>
      <c r="AA127" s="44"/>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6"/>
    </row>
    <row r="128" spans="1:66" ht="15.75" x14ac:dyDescent="0.25">
      <c r="A128" s="94"/>
      <c r="B128" s="247" t="s">
        <v>3</v>
      </c>
      <c r="C128" s="197"/>
      <c r="D128" s="248"/>
      <c r="E128" s="248"/>
      <c r="F128" s="248"/>
      <c r="G128" s="248"/>
      <c r="H128" s="248"/>
      <c r="I128" s="197"/>
      <c r="J128" s="197"/>
      <c r="K128" s="197"/>
      <c r="L128" s="248"/>
      <c r="M128" s="248"/>
      <c r="N128" s="248"/>
      <c r="O128" s="248"/>
      <c r="P128" s="248"/>
      <c r="Q128" s="197"/>
      <c r="R128" s="197"/>
      <c r="S128" s="197"/>
      <c r="T128" s="189"/>
      <c r="U128" s="213"/>
      <c r="V128" s="189"/>
      <c r="W128" s="189"/>
      <c r="X128" s="214"/>
      <c r="Y128" s="189"/>
      <c r="Z128" s="215"/>
      <c r="AA128" s="47" t="s">
        <v>236</v>
      </c>
      <c r="AB128" s="18" t="s">
        <v>232</v>
      </c>
      <c r="AC128" s="18" t="s">
        <v>233</v>
      </c>
      <c r="AD128" s="18" t="s">
        <v>233</v>
      </c>
      <c r="AE128" s="18" t="s">
        <v>233</v>
      </c>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6"/>
    </row>
    <row r="129" spans="1:66" ht="15.75" x14ac:dyDescent="0.25">
      <c r="A129" s="94"/>
      <c r="B129" s="247" t="s">
        <v>4</v>
      </c>
      <c r="C129" s="197"/>
      <c r="D129" s="248"/>
      <c r="E129" s="248"/>
      <c r="F129" s="248"/>
      <c r="G129" s="248"/>
      <c r="H129" s="248"/>
      <c r="I129" s="197"/>
      <c r="J129" s="197"/>
      <c r="K129" s="197"/>
      <c r="L129" s="248"/>
      <c r="M129" s="248"/>
      <c r="N129" s="248"/>
      <c r="O129" s="248"/>
      <c r="P129" s="248"/>
      <c r="Q129" s="197"/>
      <c r="R129" s="197"/>
      <c r="S129" s="197"/>
      <c r="T129" s="189"/>
      <c r="U129" s="213"/>
      <c r="V129" s="189"/>
      <c r="W129" s="189"/>
      <c r="X129" s="214"/>
      <c r="Y129" s="189"/>
      <c r="Z129" s="215"/>
      <c r="AA129" s="47" t="s">
        <v>236</v>
      </c>
      <c r="AB129" s="18" t="s">
        <v>232</v>
      </c>
      <c r="AC129" s="18" t="s">
        <v>232</v>
      </c>
      <c r="AD129" s="18" t="s">
        <v>232</v>
      </c>
      <c r="AE129" s="18" t="s">
        <v>232</v>
      </c>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6"/>
    </row>
    <row r="130" spans="1:66" ht="15.75" x14ac:dyDescent="0.25">
      <c r="A130" s="94"/>
      <c r="B130" s="247" t="s">
        <v>5</v>
      </c>
      <c r="C130" s="197"/>
      <c r="D130" s="248"/>
      <c r="E130" s="248"/>
      <c r="F130" s="248"/>
      <c r="G130" s="248"/>
      <c r="H130" s="248"/>
      <c r="I130" s="197"/>
      <c r="J130" s="197"/>
      <c r="K130" s="197"/>
      <c r="L130" s="248"/>
      <c r="M130" s="248"/>
      <c r="N130" s="248"/>
      <c r="O130" s="248"/>
      <c r="P130" s="248"/>
      <c r="Q130" s="197"/>
      <c r="R130" s="197"/>
      <c r="S130" s="197"/>
      <c r="T130" s="189"/>
      <c r="U130" s="213"/>
      <c r="V130" s="189"/>
      <c r="W130" s="189"/>
      <c r="X130" s="214"/>
      <c r="Y130" s="189"/>
      <c r="Z130" s="215"/>
      <c r="AA130" s="47" t="s">
        <v>236</v>
      </c>
      <c r="AB130" s="18" t="s">
        <v>235</v>
      </c>
      <c r="AC130" s="18" t="s">
        <v>232</v>
      </c>
      <c r="AD130" s="18" t="s">
        <v>232</v>
      </c>
      <c r="AE130" s="18" t="s">
        <v>235</v>
      </c>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6"/>
    </row>
    <row r="131" spans="1:66" ht="15.75" x14ac:dyDescent="0.25">
      <c r="A131" s="94"/>
      <c r="B131" s="247" t="s">
        <v>251</v>
      </c>
      <c r="C131" s="197"/>
      <c r="D131" s="248"/>
      <c r="E131" s="248"/>
      <c r="F131" s="248"/>
      <c r="G131" s="248"/>
      <c r="H131" s="248"/>
      <c r="I131" s="197"/>
      <c r="J131" s="197"/>
      <c r="K131" s="197"/>
      <c r="L131" s="248"/>
      <c r="M131" s="248"/>
      <c r="N131" s="248"/>
      <c r="O131" s="248"/>
      <c r="P131" s="248"/>
      <c r="Q131" s="197"/>
      <c r="R131" s="197"/>
      <c r="S131" s="197"/>
      <c r="T131" s="189"/>
      <c r="U131" s="213"/>
      <c r="V131" s="189"/>
      <c r="W131" s="189"/>
      <c r="X131" s="214"/>
      <c r="Y131" s="189"/>
      <c r="Z131" s="215"/>
      <c r="AA131" s="47" t="s">
        <v>236</v>
      </c>
      <c r="AB131" s="18" t="s">
        <v>232</v>
      </c>
      <c r="AC131" s="18" t="s">
        <v>232</v>
      </c>
      <c r="AD131" s="18" t="s">
        <v>232</v>
      </c>
      <c r="AE131" s="18" t="s">
        <v>232</v>
      </c>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6"/>
    </row>
    <row r="132" spans="1:66" ht="15.75" x14ac:dyDescent="0.25">
      <c r="A132" s="94"/>
      <c r="B132" s="247" t="s">
        <v>252</v>
      </c>
      <c r="C132" s="197"/>
      <c r="D132" s="248"/>
      <c r="E132" s="248"/>
      <c r="F132" s="248"/>
      <c r="G132" s="248"/>
      <c r="H132" s="248"/>
      <c r="I132" s="197"/>
      <c r="J132" s="197"/>
      <c r="K132" s="197"/>
      <c r="L132" s="248"/>
      <c r="M132" s="248"/>
      <c r="N132" s="248"/>
      <c r="O132" s="248"/>
      <c r="P132" s="248"/>
      <c r="Q132" s="197"/>
      <c r="R132" s="197"/>
      <c r="S132" s="197"/>
      <c r="T132" s="189"/>
      <c r="U132" s="213"/>
      <c r="V132" s="189"/>
      <c r="W132" s="189"/>
      <c r="X132" s="214"/>
      <c r="Y132" s="189"/>
      <c r="Z132" s="215"/>
      <c r="AA132" s="47" t="s">
        <v>236</v>
      </c>
      <c r="AB132" s="18" t="s">
        <v>232</v>
      </c>
      <c r="AC132" s="18" t="s">
        <v>232</v>
      </c>
      <c r="AD132" s="18" t="s">
        <v>232</v>
      </c>
      <c r="AE132" s="18" t="s">
        <v>232</v>
      </c>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6"/>
    </row>
    <row r="133" spans="1:66" ht="15.75" x14ac:dyDescent="0.25">
      <c r="A133" s="94"/>
      <c r="B133" s="247" t="s">
        <v>6</v>
      </c>
      <c r="C133" s="197"/>
      <c r="D133" s="248"/>
      <c r="E133" s="248"/>
      <c r="F133" s="248"/>
      <c r="G133" s="248"/>
      <c r="H133" s="248"/>
      <c r="I133" s="197"/>
      <c r="J133" s="197"/>
      <c r="K133" s="197"/>
      <c r="L133" s="248"/>
      <c r="M133" s="248"/>
      <c r="N133" s="248"/>
      <c r="O133" s="248"/>
      <c r="P133" s="248"/>
      <c r="Q133" s="197"/>
      <c r="R133" s="197"/>
      <c r="S133" s="197"/>
      <c r="T133" s="189"/>
      <c r="U133" s="213"/>
      <c r="V133" s="189"/>
      <c r="W133" s="189"/>
      <c r="X133" s="214"/>
      <c r="Y133" s="189"/>
      <c r="Z133" s="215"/>
      <c r="AA133" s="47" t="s">
        <v>236</v>
      </c>
      <c r="AB133" s="18" t="s">
        <v>233</v>
      </c>
      <c r="AC133" s="18" t="s">
        <v>233</v>
      </c>
      <c r="AD133" s="18" t="s">
        <v>232</v>
      </c>
      <c r="AE133" s="18" t="s">
        <v>232</v>
      </c>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6"/>
    </row>
    <row r="134" spans="1:66" ht="15.75" x14ac:dyDescent="0.25">
      <c r="A134" s="94"/>
      <c r="B134" s="247" t="s">
        <v>8</v>
      </c>
      <c r="C134" s="197"/>
      <c r="D134" s="248"/>
      <c r="E134" s="248"/>
      <c r="F134" s="248"/>
      <c r="G134" s="248"/>
      <c r="H134" s="248"/>
      <c r="I134" s="197"/>
      <c r="J134" s="197"/>
      <c r="K134" s="197"/>
      <c r="L134" s="248"/>
      <c r="M134" s="248"/>
      <c r="N134" s="248"/>
      <c r="O134" s="248"/>
      <c r="P134" s="248"/>
      <c r="Q134" s="197"/>
      <c r="R134" s="197"/>
      <c r="S134" s="197"/>
      <c r="T134" s="189"/>
      <c r="U134" s="213"/>
      <c r="V134" s="189"/>
      <c r="W134" s="189"/>
      <c r="X134" s="214"/>
      <c r="Y134" s="189"/>
      <c r="Z134" s="215"/>
      <c r="AA134" s="47" t="s">
        <v>236</v>
      </c>
      <c r="AB134" s="24" t="s">
        <v>233</v>
      </c>
      <c r="AC134" s="24" t="s">
        <v>233</v>
      </c>
      <c r="AD134" s="24" t="s">
        <v>234</v>
      </c>
      <c r="AE134" s="24" t="s">
        <v>234</v>
      </c>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6"/>
    </row>
    <row r="135" spans="1:66" ht="15.75" x14ac:dyDescent="0.25">
      <c r="A135" s="94"/>
      <c r="B135" s="247" t="s">
        <v>7</v>
      </c>
      <c r="C135" s="197"/>
      <c r="D135" s="248"/>
      <c r="E135" s="248"/>
      <c r="F135" s="248"/>
      <c r="G135" s="248"/>
      <c r="H135" s="248"/>
      <c r="I135" s="197"/>
      <c r="J135" s="197"/>
      <c r="K135" s="197"/>
      <c r="L135" s="248"/>
      <c r="M135" s="248"/>
      <c r="N135" s="248"/>
      <c r="O135" s="248"/>
      <c r="P135" s="248"/>
      <c r="Q135" s="197"/>
      <c r="R135" s="197"/>
      <c r="S135" s="197"/>
      <c r="T135" s="189"/>
      <c r="U135" s="213"/>
      <c r="V135" s="189"/>
      <c r="W135" s="189"/>
      <c r="X135" s="214"/>
      <c r="Y135" s="189"/>
      <c r="Z135" s="215"/>
      <c r="AA135" s="47" t="s">
        <v>236</v>
      </c>
      <c r="AB135" s="24" t="s">
        <v>233</v>
      </c>
      <c r="AC135" s="24" t="s">
        <v>233</v>
      </c>
      <c r="AD135" s="24" t="s">
        <v>234</v>
      </c>
      <c r="AE135" s="24" t="s">
        <v>234</v>
      </c>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6"/>
    </row>
    <row r="136" spans="1:66" ht="15.75" x14ac:dyDescent="0.25">
      <c r="A136" s="94">
        <v>42</v>
      </c>
      <c r="B136" s="100" t="s">
        <v>201</v>
      </c>
      <c r="C136" s="130" t="s">
        <v>740</v>
      </c>
      <c r="D136" s="129"/>
      <c r="E136" s="129" t="s">
        <v>660</v>
      </c>
      <c r="F136" s="129" t="s">
        <v>738</v>
      </c>
      <c r="G136" s="129" t="s">
        <v>350</v>
      </c>
      <c r="H136" s="129" t="s">
        <v>384</v>
      </c>
      <c r="I136" s="130" t="s">
        <v>739</v>
      </c>
      <c r="J136" s="130" t="s">
        <v>350</v>
      </c>
      <c r="K136" s="130" t="s">
        <v>350</v>
      </c>
      <c r="L136" s="129" t="s">
        <v>350</v>
      </c>
      <c r="M136" s="129"/>
      <c r="N136" s="129" t="s">
        <v>734</v>
      </c>
      <c r="O136" s="129" t="s">
        <v>286</v>
      </c>
      <c r="P136" s="129"/>
      <c r="Q136" s="130" t="s">
        <v>350</v>
      </c>
      <c r="R136" s="130"/>
      <c r="S136" s="130"/>
      <c r="T136" s="189"/>
      <c r="U136" s="213"/>
      <c r="V136" s="189" t="s">
        <v>794</v>
      </c>
      <c r="W136" s="189"/>
      <c r="X136" s="214"/>
      <c r="Y136" s="189"/>
      <c r="Z136" s="215"/>
      <c r="AA136" s="44"/>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6"/>
    </row>
    <row r="137" spans="1:66" ht="48" x14ac:dyDescent="0.25">
      <c r="A137" s="94">
        <v>43</v>
      </c>
      <c r="B137" s="17" t="s">
        <v>202</v>
      </c>
      <c r="C137" s="146" t="s">
        <v>985</v>
      </c>
      <c r="D137" s="142"/>
      <c r="E137" s="142" t="s">
        <v>660</v>
      </c>
      <c r="F137" s="142" t="s">
        <v>741</v>
      </c>
      <c r="G137" s="142" t="s">
        <v>350</v>
      </c>
      <c r="H137" s="142" t="s">
        <v>384</v>
      </c>
      <c r="I137" s="146" t="s">
        <v>742</v>
      </c>
      <c r="J137" s="146" t="s">
        <v>350</v>
      </c>
      <c r="K137" s="146" t="s">
        <v>350</v>
      </c>
      <c r="L137" s="142" t="s">
        <v>350</v>
      </c>
      <c r="M137" s="142"/>
      <c r="N137" s="142" t="s">
        <v>734</v>
      </c>
      <c r="O137" s="142" t="s">
        <v>286</v>
      </c>
      <c r="P137" s="142"/>
      <c r="Q137" s="146" t="s">
        <v>350</v>
      </c>
      <c r="R137" s="146"/>
      <c r="S137" s="146" t="s">
        <v>986</v>
      </c>
      <c r="T137" s="189" t="s">
        <v>794</v>
      </c>
      <c r="U137" s="213" t="s">
        <v>794</v>
      </c>
      <c r="V137" s="189"/>
      <c r="W137" s="189"/>
      <c r="X137" s="214"/>
      <c r="Y137" s="189"/>
      <c r="Z137" s="215"/>
      <c r="AA137" s="681">
        <v>1996</v>
      </c>
      <c r="AB137" s="681">
        <v>2001</v>
      </c>
      <c r="AC137" s="681">
        <v>2007</v>
      </c>
      <c r="AD137" s="681">
        <v>2011</v>
      </c>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6"/>
    </row>
    <row r="138" spans="1:66" ht="15.75" x14ac:dyDescent="0.25">
      <c r="A138" s="94"/>
      <c r="B138" s="269" t="s">
        <v>3</v>
      </c>
      <c r="C138" s="146"/>
      <c r="D138" s="142"/>
      <c r="E138" s="142"/>
      <c r="F138" s="142"/>
      <c r="G138" s="142"/>
      <c r="H138" s="142"/>
      <c r="I138" s="146"/>
      <c r="J138" s="146"/>
      <c r="K138" s="146"/>
      <c r="L138" s="142"/>
      <c r="M138" s="142"/>
      <c r="N138" s="142"/>
      <c r="O138" s="142"/>
      <c r="P138" s="142"/>
      <c r="Q138" s="146"/>
      <c r="R138" s="146"/>
      <c r="S138" s="146"/>
      <c r="T138" s="189"/>
      <c r="U138" s="213"/>
      <c r="V138" s="189"/>
      <c r="W138" s="189"/>
      <c r="X138" s="214"/>
      <c r="Y138" s="189"/>
      <c r="Z138" s="215"/>
      <c r="AA138" s="562">
        <v>0.27668878273807407</v>
      </c>
      <c r="AB138" s="562">
        <v>0.27278125480941878</v>
      </c>
      <c r="AC138" s="562">
        <v>0.23337080847002148</v>
      </c>
      <c r="AD138" s="561">
        <v>0.2139141720257785</v>
      </c>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6"/>
    </row>
    <row r="139" spans="1:66" ht="15.75" x14ac:dyDescent="0.25">
      <c r="A139" s="94"/>
      <c r="B139" s="269" t="s">
        <v>4</v>
      </c>
      <c r="C139" s="146"/>
      <c r="D139" s="142"/>
      <c r="E139" s="142"/>
      <c r="F139" s="142"/>
      <c r="G139" s="142"/>
      <c r="H139" s="142"/>
      <c r="I139" s="146"/>
      <c r="J139" s="146"/>
      <c r="K139" s="146"/>
      <c r="L139" s="142"/>
      <c r="M139" s="142"/>
      <c r="N139" s="142"/>
      <c r="O139" s="142"/>
      <c r="P139" s="142"/>
      <c r="Q139" s="146"/>
      <c r="R139" s="146"/>
      <c r="S139" s="146"/>
      <c r="T139" s="189"/>
      <c r="U139" s="213"/>
      <c r="V139" s="189"/>
      <c r="W139" s="189"/>
      <c r="X139" s="214"/>
      <c r="Y139" s="189"/>
      <c r="Z139" s="215"/>
      <c r="AA139" s="562">
        <v>0.25706866380450261</v>
      </c>
      <c r="AB139" s="562">
        <v>0.3071446816756509</v>
      </c>
      <c r="AC139" s="562">
        <v>0.36549625927631535</v>
      </c>
      <c r="AD139" s="561">
        <v>0.22309609910607062</v>
      </c>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6"/>
    </row>
    <row r="140" spans="1:66" ht="15.75" x14ac:dyDescent="0.25">
      <c r="A140" s="94"/>
      <c r="B140" s="269" t="s">
        <v>5</v>
      </c>
      <c r="C140" s="146"/>
      <c r="D140" s="142"/>
      <c r="E140" s="142"/>
      <c r="F140" s="142"/>
      <c r="G140" s="142"/>
      <c r="H140" s="142"/>
      <c r="I140" s="146"/>
      <c r="J140" s="146"/>
      <c r="K140" s="146"/>
      <c r="L140" s="142"/>
      <c r="M140" s="142"/>
      <c r="N140" s="142"/>
      <c r="O140" s="142"/>
      <c r="P140" s="142"/>
      <c r="Q140" s="146"/>
      <c r="R140" s="146"/>
      <c r="S140" s="146"/>
      <c r="T140" s="189"/>
      <c r="U140" s="213"/>
      <c r="V140" s="189"/>
      <c r="W140" s="189"/>
      <c r="X140" s="214"/>
      <c r="Y140" s="189"/>
      <c r="Z140" s="215"/>
      <c r="AA140" s="562">
        <v>0.24231750320305637</v>
      </c>
      <c r="AB140" s="562">
        <v>0.2385136228441409</v>
      </c>
      <c r="AC140" s="562">
        <v>0.18655136179336407</v>
      </c>
      <c r="AD140" s="561">
        <v>0.26123900694147617</v>
      </c>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6"/>
    </row>
    <row r="141" spans="1:66" ht="15.75" x14ac:dyDescent="0.25">
      <c r="A141" s="94"/>
      <c r="B141" s="269" t="s">
        <v>251</v>
      </c>
      <c r="C141" s="146"/>
      <c r="D141" s="142"/>
      <c r="E141" s="142"/>
      <c r="F141" s="142"/>
      <c r="G141" s="142"/>
      <c r="H141" s="142"/>
      <c r="I141" s="146"/>
      <c r="J141" s="146"/>
      <c r="K141" s="146"/>
      <c r="L141" s="142"/>
      <c r="M141" s="142"/>
      <c r="N141" s="142"/>
      <c r="O141" s="142"/>
      <c r="P141" s="142"/>
      <c r="Q141" s="146"/>
      <c r="R141" s="146"/>
      <c r="S141" s="146"/>
      <c r="T141" s="189"/>
      <c r="U141" s="213"/>
      <c r="V141" s="189"/>
      <c r="W141" s="189"/>
      <c r="X141" s="214"/>
      <c r="Y141" s="189"/>
      <c r="Z141" s="215"/>
      <c r="AA141" s="562">
        <v>0.30911313984005517</v>
      </c>
      <c r="AB141" s="562">
        <v>0.2625784159497998</v>
      </c>
      <c r="AC141" s="562">
        <v>0.22470181324034341</v>
      </c>
      <c r="AD141" s="561">
        <v>0.19744504506410523</v>
      </c>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6"/>
    </row>
    <row r="142" spans="1:66" ht="15.75" x14ac:dyDescent="0.25">
      <c r="A142" s="94"/>
      <c r="B142" s="269" t="s">
        <v>252</v>
      </c>
      <c r="C142" s="146"/>
      <c r="D142" s="142"/>
      <c r="E142" s="142"/>
      <c r="F142" s="142"/>
      <c r="G142" s="142"/>
      <c r="H142" s="142"/>
      <c r="I142" s="146"/>
      <c r="J142" s="146"/>
      <c r="K142" s="146"/>
      <c r="L142" s="142"/>
      <c r="M142" s="142"/>
      <c r="N142" s="142"/>
      <c r="O142" s="142"/>
      <c r="P142" s="142"/>
      <c r="Q142" s="146"/>
      <c r="R142" s="146"/>
      <c r="S142" s="146"/>
      <c r="T142" s="189"/>
      <c r="U142" s="213"/>
      <c r="V142" s="189"/>
      <c r="W142" s="189"/>
      <c r="X142" s="214"/>
      <c r="Y142" s="189"/>
      <c r="Z142" s="215"/>
      <c r="AA142" s="562">
        <v>0.41482017784637737</v>
      </c>
      <c r="AB142" s="562">
        <v>0.40888164829899376</v>
      </c>
      <c r="AC142" s="562">
        <v>0.35372493590899151</v>
      </c>
      <c r="AD142" s="561">
        <v>0.27759995625463368</v>
      </c>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6"/>
    </row>
    <row r="143" spans="1:66" ht="15.75" x14ac:dyDescent="0.25">
      <c r="A143" s="94"/>
      <c r="B143" s="269" t="s">
        <v>6</v>
      </c>
      <c r="C143" s="146"/>
      <c r="D143" s="142"/>
      <c r="E143" s="142"/>
      <c r="F143" s="142"/>
      <c r="G143" s="142"/>
      <c r="H143" s="142"/>
      <c r="I143" s="146"/>
      <c r="J143" s="146"/>
      <c r="K143" s="146"/>
      <c r="L143" s="142"/>
      <c r="M143" s="142"/>
      <c r="N143" s="142"/>
      <c r="O143" s="142"/>
      <c r="P143" s="142"/>
      <c r="Q143" s="146"/>
      <c r="R143" s="146"/>
      <c r="S143" s="146"/>
      <c r="T143" s="189"/>
      <c r="U143" s="213"/>
      <c r="V143" s="189"/>
      <c r="W143" s="189"/>
      <c r="X143" s="214"/>
      <c r="Y143" s="189"/>
      <c r="Z143" s="215"/>
      <c r="AA143" s="562">
        <v>0.37732680718208328</v>
      </c>
      <c r="AB143" s="562">
        <v>0.30484789469122647</v>
      </c>
      <c r="AC143" s="562">
        <v>0.16060875079264425</v>
      </c>
      <c r="AD143" s="561">
        <v>0.13750915465799615</v>
      </c>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6"/>
    </row>
    <row r="144" spans="1:66" ht="15.75" x14ac:dyDescent="0.25">
      <c r="A144" s="94"/>
      <c r="B144" s="269" t="s">
        <v>8</v>
      </c>
      <c r="C144" s="146"/>
      <c r="D144" s="142"/>
      <c r="E144" s="142"/>
      <c r="F144" s="142"/>
      <c r="G144" s="142"/>
      <c r="H144" s="142"/>
      <c r="I144" s="146"/>
      <c r="J144" s="146"/>
      <c r="K144" s="146"/>
      <c r="L144" s="142"/>
      <c r="M144" s="142"/>
      <c r="N144" s="142"/>
      <c r="O144" s="142"/>
      <c r="P144" s="142"/>
      <c r="Q144" s="146"/>
      <c r="R144" s="146"/>
      <c r="S144" s="146"/>
      <c r="T144" s="189"/>
      <c r="U144" s="213"/>
      <c r="V144" s="189"/>
      <c r="W144" s="189"/>
      <c r="X144" s="214"/>
      <c r="Y144" s="189"/>
      <c r="Z144" s="215"/>
      <c r="AA144" s="562">
        <v>0.42813286361348774</v>
      </c>
      <c r="AB144" s="562">
        <v>0.45585215605749491</v>
      </c>
      <c r="AC144" s="562">
        <v>0.3456882025323309</v>
      </c>
      <c r="AD144" s="561">
        <v>0.30732246238165184</v>
      </c>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6"/>
    </row>
    <row r="145" spans="1:66" ht="15.75" x14ac:dyDescent="0.25">
      <c r="A145" s="94"/>
      <c r="B145" s="269" t="s">
        <v>7</v>
      </c>
      <c r="C145" s="146"/>
      <c r="D145" s="142"/>
      <c r="E145" s="142"/>
      <c r="F145" s="142"/>
      <c r="G145" s="142"/>
      <c r="H145" s="142"/>
      <c r="I145" s="146"/>
      <c r="J145" s="146"/>
      <c r="K145" s="146"/>
      <c r="L145" s="142"/>
      <c r="M145" s="142"/>
      <c r="N145" s="142"/>
      <c r="O145" s="142"/>
      <c r="P145" s="142"/>
      <c r="Q145" s="146"/>
      <c r="R145" s="146"/>
      <c r="S145" s="146"/>
      <c r="T145" s="189"/>
      <c r="U145" s="213"/>
      <c r="V145" s="189"/>
      <c r="W145" s="189"/>
      <c r="X145" s="214"/>
      <c r="Y145" s="189"/>
      <c r="Z145" s="215"/>
      <c r="AA145" s="562">
        <v>0.32097534863545324</v>
      </c>
      <c r="AB145" s="562">
        <v>0.3302303494437242</v>
      </c>
      <c r="AC145" s="562">
        <v>0.23146122510561254</v>
      </c>
      <c r="AD145" s="561">
        <v>0.16872701424730355</v>
      </c>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6"/>
    </row>
    <row r="146" spans="1:66" ht="15.75" x14ac:dyDescent="0.25">
      <c r="A146" s="94"/>
      <c r="B146" s="269" t="s">
        <v>801</v>
      </c>
      <c r="C146" s="146"/>
      <c r="D146" s="142"/>
      <c r="E146" s="142"/>
      <c r="F146" s="142"/>
      <c r="G146" s="142"/>
      <c r="H146" s="142"/>
      <c r="I146" s="146"/>
      <c r="J146" s="146"/>
      <c r="K146" s="146"/>
      <c r="L146" s="142"/>
      <c r="M146" s="142"/>
      <c r="N146" s="142"/>
      <c r="O146" s="142"/>
      <c r="P146" s="142"/>
      <c r="Q146" s="146"/>
      <c r="R146" s="146"/>
      <c r="S146" s="146"/>
      <c r="T146" s="189"/>
      <c r="U146" s="213"/>
      <c r="V146" s="189"/>
      <c r="W146" s="189"/>
      <c r="X146" s="214"/>
      <c r="Y146" s="189"/>
      <c r="Z146" s="215"/>
      <c r="AA146" s="562">
        <v>0.12245589000012091</v>
      </c>
      <c r="AB146" s="562">
        <v>0.18124055807340261</v>
      </c>
      <c r="AC146" s="562">
        <v>3.7442569038061618E-2</v>
      </c>
      <c r="AD146" s="561">
        <v>0.11166366028430999</v>
      </c>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6"/>
    </row>
    <row r="147" spans="1:66" ht="15.75" x14ac:dyDescent="0.25">
      <c r="A147" s="94"/>
      <c r="B147" s="17"/>
      <c r="C147" s="146"/>
      <c r="D147" s="142"/>
      <c r="E147" s="142"/>
      <c r="F147" s="142"/>
      <c r="G147" s="142"/>
      <c r="H147" s="142"/>
      <c r="I147" s="146"/>
      <c r="J147" s="146"/>
      <c r="K147" s="146"/>
      <c r="L147" s="142"/>
      <c r="M147" s="142"/>
      <c r="N147" s="142"/>
      <c r="O147" s="142"/>
      <c r="P147" s="142"/>
      <c r="Q147" s="146"/>
      <c r="R147" s="146"/>
      <c r="S147" s="146"/>
      <c r="T147" s="189"/>
      <c r="U147" s="213"/>
      <c r="V147" s="189"/>
      <c r="W147" s="189"/>
      <c r="X147" s="214"/>
      <c r="Y147" s="189"/>
      <c r="Z147" s="215"/>
      <c r="AA147" s="44"/>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6"/>
    </row>
    <row r="148" spans="1:66" ht="15.75" x14ac:dyDescent="0.25">
      <c r="A148" s="94">
        <v>44</v>
      </c>
      <c r="B148" s="100" t="s">
        <v>203</v>
      </c>
      <c r="C148" s="130" t="s">
        <v>743</v>
      </c>
      <c r="D148" s="129"/>
      <c r="E148" s="129" t="s">
        <v>660</v>
      </c>
      <c r="F148" s="129" t="s">
        <v>741</v>
      </c>
      <c r="G148" s="129" t="s">
        <v>350</v>
      </c>
      <c r="H148" s="129" t="s">
        <v>384</v>
      </c>
      <c r="I148" s="130" t="s">
        <v>742</v>
      </c>
      <c r="J148" s="130" t="s">
        <v>350</v>
      </c>
      <c r="K148" s="130" t="s">
        <v>350</v>
      </c>
      <c r="L148" s="129" t="s">
        <v>350</v>
      </c>
      <c r="M148" s="129"/>
      <c r="N148" s="129" t="s">
        <v>734</v>
      </c>
      <c r="O148" s="129" t="s">
        <v>286</v>
      </c>
      <c r="P148" s="129"/>
      <c r="Q148" s="130" t="s">
        <v>350</v>
      </c>
      <c r="R148" s="130"/>
      <c r="S148" s="130"/>
      <c r="T148" s="189"/>
      <c r="U148" s="213"/>
      <c r="V148" s="189" t="s">
        <v>794</v>
      </c>
      <c r="W148" s="189"/>
      <c r="X148" s="214"/>
      <c r="Y148" s="189"/>
      <c r="Z148" s="215"/>
      <c r="AA148" s="44"/>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6"/>
    </row>
    <row r="149" spans="1:66" ht="15.75" x14ac:dyDescent="0.25">
      <c r="A149" s="94">
        <v>45</v>
      </c>
      <c r="B149" s="100" t="s">
        <v>204</v>
      </c>
      <c r="C149" s="130" t="s">
        <v>744</v>
      </c>
      <c r="D149" s="129"/>
      <c r="E149" s="129" t="s">
        <v>660</v>
      </c>
      <c r="F149" s="129" t="s">
        <v>741</v>
      </c>
      <c r="G149" s="129" t="s">
        <v>350</v>
      </c>
      <c r="H149" s="129" t="s">
        <v>384</v>
      </c>
      <c r="I149" s="130" t="s">
        <v>742</v>
      </c>
      <c r="J149" s="130" t="s">
        <v>350</v>
      </c>
      <c r="K149" s="130" t="s">
        <v>350</v>
      </c>
      <c r="L149" s="129" t="s">
        <v>350</v>
      </c>
      <c r="M149" s="129"/>
      <c r="N149" s="129" t="s">
        <v>734</v>
      </c>
      <c r="O149" s="129" t="s">
        <v>286</v>
      </c>
      <c r="P149" s="129"/>
      <c r="Q149" s="130" t="s">
        <v>350</v>
      </c>
      <c r="R149" s="130"/>
      <c r="S149" s="130"/>
      <c r="T149" s="189"/>
      <c r="U149" s="213"/>
      <c r="V149" s="189" t="s">
        <v>794</v>
      </c>
      <c r="W149" s="189"/>
      <c r="X149" s="214"/>
      <c r="Y149" s="189"/>
      <c r="Z149" s="215"/>
      <c r="AA149" s="44"/>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6"/>
    </row>
    <row r="150" spans="1:66" ht="24" x14ac:dyDescent="0.25">
      <c r="A150" s="94">
        <v>46</v>
      </c>
      <c r="B150" s="100" t="s">
        <v>205</v>
      </c>
      <c r="C150" s="130" t="s">
        <v>745</v>
      </c>
      <c r="D150" s="129" t="s">
        <v>746</v>
      </c>
      <c r="E150" s="129" t="s">
        <v>746</v>
      </c>
      <c r="F150" s="129" t="s">
        <v>747</v>
      </c>
      <c r="G150" s="129" t="s">
        <v>571</v>
      </c>
      <c r="H150" s="129" t="s">
        <v>279</v>
      </c>
      <c r="I150" s="130" t="s">
        <v>401</v>
      </c>
      <c r="J150" s="130" t="s">
        <v>402</v>
      </c>
      <c r="K150" s="130" t="s">
        <v>350</v>
      </c>
      <c r="L150" s="129" t="s">
        <v>350</v>
      </c>
      <c r="M150" s="129"/>
      <c r="N150" s="129" t="s">
        <v>734</v>
      </c>
      <c r="O150" s="129" t="s">
        <v>286</v>
      </c>
      <c r="P150" s="129"/>
      <c r="Q150" s="130" t="s">
        <v>735</v>
      </c>
      <c r="R150" s="130"/>
      <c r="S150" s="130"/>
      <c r="T150" s="189"/>
      <c r="U150" s="213"/>
      <c r="V150" s="189" t="s">
        <v>794</v>
      </c>
      <c r="W150" s="189"/>
      <c r="X150" s="214"/>
      <c r="Y150" s="189"/>
      <c r="Z150" s="215"/>
      <c r="AA150" s="44"/>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8"/>
      <c r="AZ150" s="45"/>
      <c r="BA150" s="45"/>
      <c r="BB150" s="45"/>
      <c r="BC150" s="45"/>
      <c r="BD150" s="45"/>
      <c r="BE150" s="45"/>
      <c r="BF150" s="45"/>
      <c r="BG150" s="45"/>
      <c r="BH150" s="45"/>
      <c r="BI150" s="45"/>
      <c r="BJ150" s="45"/>
      <c r="BK150" s="45"/>
      <c r="BL150" s="45"/>
      <c r="BM150" s="45"/>
      <c r="BN150" s="46"/>
    </row>
    <row r="151" spans="1:66" s="16" customFormat="1" ht="15.75" x14ac:dyDescent="0.2">
      <c r="A151" s="249"/>
      <c r="B151" s="250"/>
      <c r="C151" s="143"/>
      <c r="D151" s="138"/>
      <c r="E151" s="138"/>
      <c r="F151" s="138"/>
      <c r="G151" s="138"/>
      <c r="H151" s="138"/>
      <c r="I151" s="143"/>
      <c r="J151" s="143"/>
      <c r="K151" s="143"/>
      <c r="L151" s="138"/>
      <c r="M151" s="138"/>
      <c r="N151" s="138"/>
      <c r="O151" s="138"/>
      <c r="P151" s="138"/>
      <c r="Q151" s="143"/>
      <c r="R151" s="143"/>
      <c r="S151" s="121"/>
      <c r="T151" s="227"/>
      <c r="U151" s="228"/>
      <c r="V151" s="227"/>
      <c r="W151" s="227"/>
      <c r="X151" s="229"/>
      <c r="Y151" s="227"/>
      <c r="Z151" s="230"/>
      <c r="AA151" s="834" t="s">
        <v>3</v>
      </c>
      <c r="AB151" s="824"/>
      <c r="AC151" s="824"/>
      <c r="AD151" s="824"/>
      <c r="AE151" s="825"/>
      <c r="AF151" s="858" t="s">
        <v>4</v>
      </c>
      <c r="AG151" s="856"/>
      <c r="AH151" s="856"/>
      <c r="AI151" s="856"/>
      <c r="AJ151" s="857"/>
      <c r="AK151" s="856" t="s">
        <v>5</v>
      </c>
      <c r="AL151" s="856"/>
      <c r="AM151" s="856"/>
      <c r="AN151" s="856"/>
      <c r="AO151" s="856"/>
      <c r="AP151" s="858" t="s">
        <v>251</v>
      </c>
      <c r="AQ151" s="856"/>
      <c r="AR151" s="856"/>
      <c r="AS151" s="856"/>
      <c r="AT151" s="857"/>
      <c r="AU151" s="856" t="s">
        <v>252</v>
      </c>
      <c r="AV151" s="856"/>
      <c r="AW151" s="856"/>
      <c r="AX151" s="856"/>
      <c r="AY151" s="857"/>
      <c r="AZ151" s="856" t="s">
        <v>6</v>
      </c>
      <c r="BA151" s="856"/>
      <c r="BB151" s="856"/>
      <c r="BC151" s="856"/>
      <c r="BD151" s="857"/>
      <c r="BE151" s="856" t="s">
        <v>8</v>
      </c>
      <c r="BF151" s="856"/>
      <c r="BG151" s="856"/>
      <c r="BH151" s="856"/>
      <c r="BI151" s="856"/>
      <c r="BJ151" s="858" t="s">
        <v>7</v>
      </c>
      <c r="BK151" s="856"/>
      <c r="BL151" s="856"/>
      <c r="BM151" s="856"/>
      <c r="BN151" s="857"/>
    </row>
    <row r="152" spans="1:66" s="3" customFormat="1" ht="15.75" x14ac:dyDescent="0.2">
      <c r="A152" s="85"/>
      <c r="B152" s="251"/>
      <c r="C152" s="144"/>
      <c r="D152" s="139"/>
      <c r="E152" s="139"/>
      <c r="F152" s="139"/>
      <c r="G152" s="139"/>
      <c r="H152" s="139"/>
      <c r="I152" s="144"/>
      <c r="J152" s="144"/>
      <c r="K152" s="144"/>
      <c r="L152" s="139"/>
      <c r="M152" s="139"/>
      <c r="N152" s="139"/>
      <c r="O152" s="139"/>
      <c r="P152" s="139"/>
      <c r="Q152" s="144"/>
      <c r="R152" s="144"/>
      <c r="S152" s="144"/>
      <c r="T152" s="189"/>
      <c r="U152" s="213"/>
      <c r="V152" s="189"/>
      <c r="W152" s="189"/>
      <c r="X152" s="214"/>
      <c r="Y152" s="189"/>
      <c r="Z152" s="215"/>
      <c r="AA152" s="723" t="s">
        <v>227</v>
      </c>
      <c r="AB152" s="724" t="s">
        <v>228</v>
      </c>
      <c r="AC152" s="724" t="s">
        <v>229</v>
      </c>
      <c r="AD152" s="724" t="s">
        <v>230</v>
      </c>
      <c r="AE152" s="724" t="s">
        <v>231</v>
      </c>
      <c r="AF152" s="723" t="s">
        <v>227</v>
      </c>
      <c r="AG152" s="724" t="s">
        <v>228</v>
      </c>
      <c r="AH152" s="724" t="s">
        <v>229</v>
      </c>
      <c r="AI152" s="724" t="s">
        <v>230</v>
      </c>
      <c r="AJ152" s="725" t="s">
        <v>231</v>
      </c>
      <c r="AK152" s="726" t="s">
        <v>227</v>
      </c>
      <c r="AL152" s="724" t="s">
        <v>228</v>
      </c>
      <c r="AM152" s="724" t="s">
        <v>229</v>
      </c>
      <c r="AN152" s="724" t="s">
        <v>230</v>
      </c>
      <c r="AO152" s="724" t="s">
        <v>231</v>
      </c>
      <c r="AP152" s="723" t="s">
        <v>227</v>
      </c>
      <c r="AQ152" s="724" t="s">
        <v>228</v>
      </c>
      <c r="AR152" s="724" t="s">
        <v>229</v>
      </c>
      <c r="AS152" s="724" t="s">
        <v>230</v>
      </c>
      <c r="AT152" s="725" t="s">
        <v>231</v>
      </c>
      <c r="AU152" s="726" t="s">
        <v>227</v>
      </c>
      <c r="AV152" s="724" t="s">
        <v>228</v>
      </c>
      <c r="AW152" s="724" t="s">
        <v>229</v>
      </c>
      <c r="AX152" s="724" t="s">
        <v>230</v>
      </c>
      <c r="AY152" s="725" t="s">
        <v>231</v>
      </c>
      <c r="AZ152" s="726" t="s">
        <v>227</v>
      </c>
      <c r="BA152" s="724" t="s">
        <v>228</v>
      </c>
      <c r="BB152" s="724" t="s">
        <v>229</v>
      </c>
      <c r="BC152" s="724" t="s">
        <v>230</v>
      </c>
      <c r="BD152" s="725" t="s">
        <v>231</v>
      </c>
      <c r="BE152" s="726" t="s">
        <v>227</v>
      </c>
      <c r="BF152" s="724" t="s">
        <v>228</v>
      </c>
      <c r="BG152" s="724" t="s">
        <v>229</v>
      </c>
      <c r="BH152" s="724" t="s">
        <v>230</v>
      </c>
      <c r="BI152" s="724" t="s">
        <v>231</v>
      </c>
      <c r="BJ152" s="723" t="s">
        <v>227</v>
      </c>
      <c r="BK152" s="724" t="s">
        <v>228</v>
      </c>
      <c r="BL152" s="724" t="s">
        <v>229</v>
      </c>
      <c r="BM152" s="724" t="s">
        <v>230</v>
      </c>
      <c r="BN152" s="725" t="s">
        <v>231</v>
      </c>
    </row>
    <row r="153" spans="1:66" ht="36" x14ac:dyDescent="0.25">
      <c r="A153" s="94">
        <v>47</v>
      </c>
      <c r="B153" s="142" t="s">
        <v>206</v>
      </c>
      <c r="C153" s="146" t="s">
        <v>748</v>
      </c>
      <c r="D153" s="142" t="s">
        <v>746</v>
      </c>
      <c r="E153" s="142" t="s">
        <v>746</v>
      </c>
      <c r="F153" s="142" t="s">
        <v>747</v>
      </c>
      <c r="G153" s="142" t="s">
        <v>571</v>
      </c>
      <c r="H153" s="142" t="s">
        <v>306</v>
      </c>
      <c r="I153" s="146" t="s">
        <v>353</v>
      </c>
      <c r="J153" s="146" t="s">
        <v>332</v>
      </c>
      <c r="K153" s="146" t="s">
        <v>333</v>
      </c>
      <c r="L153" s="142" t="s">
        <v>334</v>
      </c>
      <c r="M153" s="142"/>
      <c r="N153" s="142" t="s">
        <v>285</v>
      </c>
      <c r="O153" s="142" t="s">
        <v>286</v>
      </c>
      <c r="P153" s="142"/>
      <c r="Q153" s="146" t="s">
        <v>409</v>
      </c>
      <c r="R153" s="146"/>
      <c r="S153" s="146" t="s">
        <v>972</v>
      </c>
      <c r="T153" s="189" t="s">
        <v>794</v>
      </c>
      <c r="U153" s="213" t="s">
        <v>794</v>
      </c>
      <c r="V153" s="189"/>
      <c r="W153" s="189"/>
      <c r="X153" s="214"/>
      <c r="Y153" s="189"/>
      <c r="Z153" s="215"/>
      <c r="AA153" s="35">
        <v>2491080000</v>
      </c>
      <c r="AB153" s="19">
        <v>2259207000</v>
      </c>
      <c r="AC153" s="19">
        <v>2454311000</v>
      </c>
      <c r="AD153" s="19">
        <v>2067645000</v>
      </c>
      <c r="AE153" s="19">
        <v>2032631000</v>
      </c>
      <c r="AF153" s="35">
        <v>4457519246</v>
      </c>
      <c r="AG153" s="19">
        <v>4023595573</v>
      </c>
      <c r="AH153" s="19">
        <v>3420875611</v>
      </c>
      <c r="AI153" s="19">
        <v>2931317574</v>
      </c>
      <c r="AJ153" s="27">
        <v>2715755873</v>
      </c>
      <c r="AK153" s="19">
        <v>5546774000</v>
      </c>
      <c r="AL153" s="19">
        <v>5076445000</v>
      </c>
      <c r="AM153" s="19">
        <v>5514246000</v>
      </c>
      <c r="AN153" s="19">
        <v>5272137000</v>
      </c>
      <c r="AO153" s="19">
        <v>4189149000</v>
      </c>
      <c r="AP153" s="35">
        <v>1856376000</v>
      </c>
      <c r="AQ153" s="19">
        <v>1728944000</v>
      </c>
      <c r="AR153" s="19">
        <v>1670201000</v>
      </c>
      <c r="AS153" s="19">
        <v>1578952000</v>
      </c>
      <c r="AT153" s="27">
        <v>1614499000</v>
      </c>
      <c r="AU153" s="19">
        <v>2068338584</v>
      </c>
      <c r="AV153" s="19">
        <v>1918134214</v>
      </c>
      <c r="AW153" s="19">
        <v>1735737690</v>
      </c>
      <c r="AX153" s="19">
        <v>1648099498</v>
      </c>
      <c r="AY153" s="27">
        <v>1424234294</v>
      </c>
      <c r="AZ153" s="19">
        <v>557666343</v>
      </c>
      <c r="BA153" s="19">
        <v>525344419</v>
      </c>
      <c r="BB153" s="19">
        <v>471637971</v>
      </c>
      <c r="BC153" s="19">
        <v>416967783</v>
      </c>
      <c r="BD153" s="27">
        <v>388217097</v>
      </c>
      <c r="BE153" s="19">
        <v>339969835</v>
      </c>
      <c r="BF153" s="19">
        <v>302755675</v>
      </c>
      <c r="BG153" s="19">
        <v>269341269</v>
      </c>
      <c r="BH153" s="19">
        <v>228762109</v>
      </c>
      <c r="BI153" s="19">
        <v>217864240</v>
      </c>
      <c r="BJ153" s="35">
        <v>723435501</v>
      </c>
      <c r="BK153" s="19">
        <v>447213026</v>
      </c>
      <c r="BL153" s="19">
        <v>394982667</v>
      </c>
      <c r="BM153" s="19">
        <v>345437738</v>
      </c>
      <c r="BN153" s="27">
        <v>304807157</v>
      </c>
    </row>
    <row r="154" spans="1:66" ht="36" x14ac:dyDescent="0.25">
      <c r="A154" s="94">
        <v>48</v>
      </c>
      <c r="B154" s="142" t="s">
        <v>207</v>
      </c>
      <c r="C154" s="146" t="s">
        <v>748</v>
      </c>
      <c r="D154" s="142" t="s">
        <v>746</v>
      </c>
      <c r="E154" s="142" t="s">
        <v>746</v>
      </c>
      <c r="F154" s="142" t="s">
        <v>747</v>
      </c>
      <c r="G154" s="142" t="s">
        <v>571</v>
      </c>
      <c r="H154" s="142" t="s">
        <v>306</v>
      </c>
      <c r="I154" s="146" t="s">
        <v>353</v>
      </c>
      <c r="J154" s="146" t="s">
        <v>332</v>
      </c>
      <c r="K154" s="146" t="s">
        <v>333</v>
      </c>
      <c r="L154" s="142" t="s">
        <v>334</v>
      </c>
      <c r="M154" s="142"/>
      <c r="N154" s="142" t="s">
        <v>285</v>
      </c>
      <c r="O154" s="142" t="s">
        <v>286</v>
      </c>
      <c r="P154" s="142"/>
      <c r="Q154" s="146" t="s">
        <v>409</v>
      </c>
      <c r="R154" s="146"/>
      <c r="S154" s="146" t="s">
        <v>972</v>
      </c>
      <c r="T154" s="189" t="s">
        <v>794</v>
      </c>
      <c r="U154" s="213" t="s">
        <v>794</v>
      </c>
      <c r="V154" s="189"/>
      <c r="W154" s="189"/>
      <c r="X154" s="214"/>
      <c r="Y154" s="189"/>
      <c r="Z154" s="215"/>
      <c r="AA154" s="35">
        <v>4887885000</v>
      </c>
      <c r="AB154" s="19">
        <v>3646309000</v>
      </c>
      <c r="AC154" s="19">
        <v>2973798000</v>
      </c>
      <c r="AD154" s="19">
        <v>2735183000</v>
      </c>
      <c r="AE154" s="19">
        <v>1983038000</v>
      </c>
      <c r="AF154" s="35">
        <v>4457519246</v>
      </c>
      <c r="AG154" s="19">
        <v>4023595573</v>
      </c>
      <c r="AH154" s="19">
        <v>3420875611</v>
      </c>
      <c r="AI154" s="19">
        <v>2931317574</v>
      </c>
      <c r="AJ154" s="27">
        <v>2715755873</v>
      </c>
      <c r="AK154" s="19">
        <v>5546774000</v>
      </c>
      <c r="AL154" s="19">
        <v>5076445000</v>
      </c>
      <c r="AM154" s="19">
        <v>5514246000</v>
      </c>
      <c r="AN154" s="19">
        <v>5272137000</v>
      </c>
      <c r="AO154" s="19">
        <v>4189149000</v>
      </c>
      <c r="AP154" s="35">
        <v>1704306000</v>
      </c>
      <c r="AQ154" s="19">
        <v>1531972000</v>
      </c>
      <c r="AR154" s="19">
        <v>1360863000</v>
      </c>
      <c r="AS154" s="19">
        <v>1207289000</v>
      </c>
      <c r="AT154" s="27">
        <v>1114815000</v>
      </c>
      <c r="AU154" s="19">
        <v>1820276075</v>
      </c>
      <c r="AV154" s="19">
        <v>1368239186</v>
      </c>
      <c r="AW154" s="19">
        <v>1242701255</v>
      </c>
      <c r="AX154" s="19">
        <v>1109305048</v>
      </c>
      <c r="AY154" s="27">
        <v>1023197584</v>
      </c>
      <c r="AZ154" s="19">
        <v>504905239</v>
      </c>
      <c r="BA154" s="19">
        <v>364974993</v>
      </c>
      <c r="BB154" s="19">
        <v>307268439</v>
      </c>
      <c r="BC154" s="19">
        <v>284416965</v>
      </c>
      <c r="BD154" s="27">
        <v>239256869</v>
      </c>
      <c r="BE154" s="19">
        <v>317876795</v>
      </c>
      <c r="BF154" s="19">
        <v>271383807</v>
      </c>
      <c r="BG154" s="19">
        <v>243352437</v>
      </c>
      <c r="BH154" s="19">
        <v>214427174</v>
      </c>
      <c r="BI154" s="19">
        <v>195737092</v>
      </c>
      <c r="BJ154" s="35">
        <v>723435501</v>
      </c>
      <c r="BK154" s="19">
        <v>447213026</v>
      </c>
      <c r="BL154" s="19">
        <v>394982667</v>
      </c>
      <c r="BM154" s="19">
        <v>345437738</v>
      </c>
      <c r="BN154" s="27">
        <v>304807157</v>
      </c>
    </row>
    <row r="155" spans="1:66" ht="36" x14ac:dyDescent="0.25">
      <c r="A155" s="94">
        <v>49</v>
      </c>
      <c r="B155" s="142" t="s">
        <v>208</v>
      </c>
      <c r="C155" s="146" t="s">
        <v>749</v>
      </c>
      <c r="D155" s="142" t="s">
        <v>746</v>
      </c>
      <c r="E155" s="142" t="s">
        <v>746</v>
      </c>
      <c r="F155" s="142" t="s">
        <v>747</v>
      </c>
      <c r="G155" s="142" t="s">
        <v>571</v>
      </c>
      <c r="H155" s="142" t="s">
        <v>306</v>
      </c>
      <c r="I155" s="146" t="s">
        <v>353</v>
      </c>
      <c r="J155" s="146" t="s">
        <v>332</v>
      </c>
      <c r="K155" s="146" t="s">
        <v>333</v>
      </c>
      <c r="L155" s="142" t="s">
        <v>334</v>
      </c>
      <c r="M155" s="142"/>
      <c r="N155" s="142" t="s">
        <v>285</v>
      </c>
      <c r="O155" s="142" t="s">
        <v>286</v>
      </c>
      <c r="P155" s="142"/>
      <c r="Q155" s="146" t="s">
        <v>409</v>
      </c>
      <c r="R155" s="146"/>
      <c r="S155" s="146" t="s">
        <v>972</v>
      </c>
      <c r="T155" s="189" t="s">
        <v>794</v>
      </c>
      <c r="U155" s="213" t="s">
        <v>794</v>
      </c>
      <c r="V155" s="189"/>
      <c r="W155" s="189"/>
      <c r="X155" s="214"/>
      <c r="Y155" s="189"/>
      <c r="Z155" s="215"/>
      <c r="AA155" s="35">
        <v>20355557000</v>
      </c>
      <c r="AB155" s="19">
        <v>19312527000</v>
      </c>
      <c r="AC155" s="19">
        <v>18601300000</v>
      </c>
      <c r="AD155" s="19">
        <v>15209782000</v>
      </c>
      <c r="AE155" s="19">
        <v>12477685000</v>
      </c>
      <c r="AF155" s="35">
        <v>12348888083</v>
      </c>
      <c r="AG155" s="19">
        <v>11657541940</v>
      </c>
      <c r="AH155" s="19">
        <v>10679046818</v>
      </c>
      <c r="AI155" s="19">
        <v>8594487739</v>
      </c>
      <c r="AJ155" s="27">
        <v>7085192399</v>
      </c>
      <c r="AK155" s="19">
        <v>13903680000</v>
      </c>
      <c r="AL155" s="19">
        <v>13099805000</v>
      </c>
      <c r="AM155" s="19">
        <v>12112884000</v>
      </c>
      <c r="AN155" s="19">
        <v>10493553000</v>
      </c>
      <c r="AO155" s="19">
        <v>8866059000</v>
      </c>
      <c r="AP155" s="35">
        <v>13112696000</v>
      </c>
      <c r="AQ155" s="19">
        <v>12499079000</v>
      </c>
      <c r="AR155" s="19">
        <v>11394609000</v>
      </c>
      <c r="AS155" s="19">
        <v>9891173000</v>
      </c>
      <c r="AT155" s="27">
        <v>7841496000</v>
      </c>
      <c r="AU155" s="19">
        <v>14861038367</v>
      </c>
      <c r="AV155" s="19">
        <v>14861038367</v>
      </c>
      <c r="AW155" s="19">
        <v>12598243381</v>
      </c>
      <c r="AX155" s="19">
        <v>10090685315</v>
      </c>
      <c r="AY155" s="27">
        <v>8070035692</v>
      </c>
      <c r="AZ155" s="19">
        <v>3811653520</v>
      </c>
      <c r="BA155" s="19">
        <v>3633444852</v>
      </c>
      <c r="BB155" s="19">
        <v>3490744057</v>
      </c>
      <c r="BC155" s="19">
        <v>3121529761</v>
      </c>
      <c r="BD155" s="27">
        <v>2549064398</v>
      </c>
      <c r="BE155" s="19">
        <v>2197435143</v>
      </c>
      <c r="BF155" s="19">
        <v>1964268076</v>
      </c>
      <c r="BG155" s="19">
        <v>1754709786</v>
      </c>
      <c r="BH155" s="19">
        <v>1463099072</v>
      </c>
      <c r="BI155" s="19">
        <v>1303156082</v>
      </c>
      <c r="BJ155" s="35">
        <v>935491481</v>
      </c>
      <c r="BK155" s="19">
        <v>718169818</v>
      </c>
      <c r="BL155" s="19">
        <f>621237648+1211974409+295849877</f>
        <v>2129061934</v>
      </c>
      <c r="BM155" s="19">
        <f>557558699+909782472+222285673</f>
        <v>1689626844</v>
      </c>
      <c r="BN155" s="27">
        <v>1382717567</v>
      </c>
    </row>
    <row r="156" spans="1:66" ht="36" x14ac:dyDescent="0.25">
      <c r="A156" s="94">
        <v>50</v>
      </c>
      <c r="B156" s="129" t="s">
        <v>209</v>
      </c>
      <c r="C156" s="130" t="s">
        <v>750</v>
      </c>
      <c r="D156" s="129" t="s">
        <v>746</v>
      </c>
      <c r="E156" s="129" t="s">
        <v>746</v>
      </c>
      <c r="F156" s="129" t="s">
        <v>747</v>
      </c>
      <c r="G156" s="129" t="s">
        <v>571</v>
      </c>
      <c r="H156" s="129" t="s">
        <v>306</v>
      </c>
      <c r="I156" s="130" t="s">
        <v>353</v>
      </c>
      <c r="J156" s="130" t="s">
        <v>332</v>
      </c>
      <c r="K156" s="130" t="s">
        <v>333</v>
      </c>
      <c r="L156" s="129" t="s">
        <v>334</v>
      </c>
      <c r="M156" s="129"/>
      <c r="N156" s="129" t="s">
        <v>285</v>
      </c>
      <c r="O156" s="129" t="s">
        <v>286</v>
      </c>
      <c r="P156" s="129"/>
      <c r="Q156" s="130" t="s">
        <v>409</v>
      </c>
      <c r="R156" s="130"/>
      <c r="S156" s="130" t="s">
        <v>953</v>
      </c>
      <c r="T156" s="189"/>
      <c r="U156" s="213" t="s">
        <v>794</v>
      </c>
      <c r="V156" s="189"/>
      <c r="W156" s="189"/>
      <c r="X156" s="214"/>
      <c r="Y156" s="189"/>
      <c r="Z156" s="215"/>
      <c r="AA156" s="39">
        <v>7765829000</v>
      </c>
      <c r="AB156" s="9">
        <v>6808732000</v>
      </c>
      <c r="AC156" s="9">
        <v>7540386000</v>
      </c>
      <c r="AD156" s="9">
        <v>7134966000</v>
      </c>
      <c r="AE156" s="9">
        <v>6952278000</v>
      </c>
      <c r="AF156" s="39">
        <v>4976054018</v>
      </c>
      <c r="AG156" s="9">
        <v>4744008495</v>
      </c>
      <c r="AH156" s="9">
        <v>3561339848</v>
      </c>
      <c r="AI156" s="9">
        <v>2504449849</v>
      </c>
      <c r="AJ156" s="41">
        <v>2509453939</v>
      </c>
      <c r="AK156" s="37">
        <v>4442190000</v>
      </c>
      <c r="AL156" s="37">
        <v>5394440000</v>
      </c>
      <c r="AM156" s="37">
        <v>3757835000</v>
      </c>
      <c r="AN156" s="37">
        <v>2636469000</v>
      </c>
      <c r="AO156" s="37">
        <v>3120058000</v>
      </c>
      <c r="AP156" s="39">
        <v>4232396000</v>
      </c>
      <c r="AQ156" s="21">
        <v>3657750000</v>
      </c>
      <c r="AR156" s="21">
        <v>3409741000</v>
      </c>
      <c r="AS156" s="21">
        <v>2613046000</v>
      </c>
      <c r="AT156" s="42">
        <v>3733289000</v>
      </c>
      <c r="AU156" s="37">
        <v>5339960744</v>
      </c>
      <c r="AV156" s="37">
        <v>4746558483</v>
      </c>
      <c r="AW156" s="37">
        <v>4568533803</v>
      </c>
      <c r="AX156" s="37">
        <v>3407484103</v>
      </c>
      <c r="AY156" s="38">
        <v>2885992560</v>
      </c>
      <c r="AZ156" s="9">
        <f>1295003291+1026453533</f>
        <v>2321456824</v>
      </c>
      <c r="BA156" s="9">
        <f>1269881789+895330135</f>
        <v>2165211924</v>
      </c>
      <c r="BB156" s="9">
        <v>2134441650</v>
      </c>
      <c r="BC156" s="9">
        <v>1409487378</v>
      </c>
      <c r="BD156" s="41">
        <v>2395942529</v>
      </c>
      <c r="BE156" s="37">
        <v>1542941916</v>
      </c>
      <c r="BF156" s="37">
        <v>1235137628</v>
      </c>
      <c r="BG156" s="37">
        <v>905903245</v>
      </c>
      <c r="BH156" s="37">
        <v>901582926</v>
      </c>
      <c r="BI156" s="37">
        <v>802651054</v>
      </c>
      <c r="BJ156" s="36">
        <v>1722782784</v>
      </c>
      <c r="BK156" s="37">
        <v>1296186619</v>
      </c>
      <c r="BL156" s="37">
        <v>1211493796</v>
      </c>
      <c r="BM156" s="37">
        <v>888845901</v>
      </c>
      <c r="BN156" s="38">
        <v>858670800</v>
      </c>
    </row>
    <row r="157" spans="1:66" ht="36" x14ac:dyDescent="0.25">
      <c r="A157" s="94">
        <v>51</v>
      </c>
      <c r="B157" s="129" t="s">
        <v>210</v>
      </c>
      <c r="C157" s="130" t="s">
        <v>751</v>
      </c>
      <c r="D157" s="129" t="s">
        <v>746</v>
      </c>
      <c r="E157" s="129" t="s">
        <v>746</v>
      </c>
      <c r="F157" s="129" t="s">
        <v>747</v>
      </c>
      <c r="G157" s="129" t="s">
        <v>571</v>
      </c>
      <c r="H157" s="129" t="s">
        <v>306</v>
      </c>
      <c r="I157" s="130" t="s">
        <v>353</v>
      </c>
      <c r="J157" s="130" t="s">
        <v>332</v>
      </c>
      <c r="K157" s="130" t="s">
        <v>333</v>
      </c>
      <c r="L157" s="129" t="s">
        <v>334</v>
      </c>
      <c r="M157" s="129"/>
      <c r="N157" s="129" t="s">
        <v>285</v>
      </c>
      <c r="O157" s="129" t="s">
        <v>286</v>
      </c>
      <c r="P157" s="129"/>
      <c r="Q157" s="130" t="s">
        <v>409</v>
      </c>
      <c r="R157" s="130"/>
      <c r="S157" s="130" t="s">
        <v>953</v>
      </c>
      <c r="T157" s="189"/>
      <c r="U157" s="213" t="s">
        <v>794</v>
      </c>
      <c r="V157" s="189"/>
      <c r="W157" s="189"/>
      <c r="X157" s="214"/>
      <c r="Y157" s="189"/>
      <c r="Z157" s="215"/>
      <c r="AA157" s="39">
        <v>0</v>
      </c>
      <c r="AB157" s="9">
        <v>0</v>
      </c>
      <c r="AC157" s="9">
        <v>0</v>
      </c>
      <c r="AD157" s="9">
        <v>0</v>
      </c>
      <c r="AE157" s="9">
        <v>0</v>
      </c>
      <c r="AF157" s="39">
        <v>0</v>
      </c>
      <c r="AG157" s="9">
        <v>0</v>
      </c>
      <c r="AH157" s="9"/>
      <c r="AI157" s="9"/>
      <c r="AJ157" s="41"/>
      <c r="AK157" s="29"/>
      <c r="AL157" s="29"/>
      <c r="AM157" s="29"/>
      <c r="AN157" s="29"/>
      <c r="AO157" s="29"/>
      <c r="AP157" s="39"/>
      <c r="AQ157" s="21"/>
      <c r="AR157" s="21"/>
      <c r="AS157" s="21"/>
      <c r="AT157" s="42"/>
      <c r="AU157" s="29"/>
      <c r="AV157" s="29"/>
      <c r="AW157" s="29"/>
      <c r="AX157" s="29"/>
      <c r="AY157" s="30"/>
      <c r="AZ157" s="9"/>
      <c r="BA157" s="9"/>
      <c r="BB157" s="9"/>
      <c r="BC157" s="9"/>
      <c r="BD157" s="41"/>
      <c r="BE157" s="29"/>
      <c r="BF157" s="29"/>
      <c r="BG157" s="29"/>
      <c r="BH157" s="29"/>
      <c r="BI157" s="29"/>
      <c r="BJ157" s="28"/>
      <c r="BK157" s="29"/>
      <c r="BL157" s="29"/>
      <c r="BM157" s="29"/>
      <c r="BN157" s="30"/>
    </row>
    <row r="158" spans="1:66" ht="36" x14ac:dyDescent="0.25">
      <c r="A158" s="94">
        <v>52</v>
      </c>
      <c r="B158" s="142" t="s">
        <v>211</v>
      </c>
      <c r="C158" s="146" t="s">
        <v>752</v>
      </c>
      <c r="D158" s="142" t="s">
        <v>746</v>
      </c>
      <c r="E158" s="142" t="s">
        <v>746</v>
      </c>
      <c r="F158" s="142" t="s">
        <v>747</v>
      </c>
      <c r="G158" s="142" t="s">
        <v>571</v>
      </c>
      <c r="H158" s="142" t="s">
        <v>306</v>
      </c>
      <c r="I158" s="146" t="s">
        <v>353</v>
      </c>
      <c r="J158" s="146" t="s">
        <v>332</v>
      </c>
      <c r="K158" s="146" t="s">
        <v>333</v>
      </c>
      <c r="L158" s="142" t="s">
        <v>334</v>
      </c>
      <c r="M158" s="142"/>
      <c r="N158" s="142" t="s">
        <v>285</v>
      </c>
      <c r="O158" s="142" t="s">
        <v>286</v>
      </c>
      <c r="P158" s="142"/>
      <c r="Q158" s="146" t="s">
        <v>409</v>
      </c>
      <c r="R158" s="146"/>
      <c r="S158" s="146" t="s">
        <v>972</v>
      </c>
      <c r="T158" s="189" t="s">
        <v>794</v>
      </c>
      <c r="U158" s="213" t="s">
        <v>794</v>
      </c>
      <c r="V158" s="189"/>
      <c r="W158" s="189"/>
      <c r="X158" s="214"/>
      <c r="Y158" s="189"/>
      <c r="Z158" s="215"/>
      <c r="AA158" s="35">
        <v>309839000</v>
      </c>
      <c r="AB158" s="19">
        <v>153955000</v>
      </c>
      <c r="AC158" s="19">
        <v>132957000</v>
      </c>
      <c r="AD158" s="19">
        <v>111793000</v>
      </c>
      <c r="AE158" s="19">
        <v>181620000</v>
      </c>
      <c r="AF158" s="35">
        <v>22006956</v>
      </c>
      <c r="AG158" s="19">
        <v>17290290</v>
      </c>
      <c r="AH158" s="19">
        <v>21495798</v>
      </c>
      <c r="AI158" s="19">
        <v>27625621</v>
      </c>
      <c r="AJ158" s="27">
        <v>12544162</v>
      </c>
      <c r="AK158" s="19">
        <v>115021000</v>
      </c>
      <c r="AL158" s="19">
        <v>103144000</v>
      </c>
      <c r="AM158" s="19">
        <v>103502000</v>
      </c>
      <c r="AN158" s="19">
        <v>93393000</v>
      </c>
      <c r="AO158" s="19">
        <v>94225000</v>
      </c>
      <c r="AP158" s="35">
        <v>169313000</v>
      </c>
      <c r="AQ158" s="19">
        <v>174304000</v>
      </c>
      <c r="AR158" s="19">
        <v>126094000</v>
      </c>
      <c r="AS158" s="19">
        <v>132121000</v>
      </c>
      <c r="AT158" s="27">
        <v>139488000</v>
      </c>
      <c r="AU158" s="19">
        <v>1065771011</v>
      </c>
      <c r="AV158" s="19">
        <v>960645418</v>
      </c>
      <c r="AW158" s="19">
        <v>362004390</v>
      </c>
      <c r="AX158" s="19">
        <v>112172952</v>
      </c>
      <c r="AY158" s="27">
        <v>57093069</v>
      </c>
      <c r="AZ158" s="19">
        <v>43157338</v>
      </c>
      <c r="BA158" s="19">
        <v>37469531</v>
      </c>
      <c r="BB158" s="19">
        <v>285916001</v>
      </c>
      <c r="BC158" s="19">
        <v>218228025</v>
      </c>
      <c r="BD158" s="27">
        <v>283058979</v>
      </c>
      <c r="BE158" s="19">
        <v>152102495</v>
      </c>
      <c r="BF158" s="19">
        <v>116332346</v>
      </c>
      <c r="BG158" s="19">
        <v>13740886</v>
      </c>
      <c r="BH158" s="19">
        <v>19909665</v>
      </c>
      <c r="BI158" s="19">
        <v>19578416</v>
      </c>
      <c r="BJ158" s="35">
        <v>93473702</v>
      </c>
      <c r="BK158" s="19">
        <v>39936066</v>
      </c>
      <c r="BL158" s="19">
        <v>80514164</v>
      </c>
      <c r="BM158" s="19">
        <v>8184688</v>
      </c>
      <c r="BN158" s="27">
        <v>7557577</v>
      </c>
    </row>
    <row r="159" spans="1:66" s="424" customFormat="1" ht="36" x14ac:dyDescent="0.25">
      <c r="A159" s="420">
        <v>53</v>
      </c>
      <c r="B159" s="429" t="s">
        <v>212</v>
      </c>
      <c r="C159" s="414" t="s">
        <v>753</v>
      </c>
      <c r="D159" s="413" t="s">
        <v>746</v>
      </c>
      <c r="E159" s="413" t="s">
        <v>746</v>
      </c>
      <c r="F159" s="413" t="s">
        <v>754</v>
      </c>
      <c r="G159" s="413" t="s">
        <v>571</v>
      </c>
      <c r="H159" s="413" t="s">
        <v>279</v>
      </c>
      <c r="I159" s="414" t="s">
        <v>401</v>
      </c>
      <c r="J159" s="414" t="s">
        <v>402</v>
      </c>
      <c r="K159" s="414" t="s">
        <v>350</v>
      </c>
      <c r="L159" s="413" t="s">
        <v>350</v>
      </c>
      <c r="M159" s="413"/>
      <c r="N159" s="413" t="s">
        <v>734</v>
      </c>
      <c r="O159" s="413" t="s">
        <v>286</v>
      </c>
      <c r="P159" s="413"/>
      <c r="Q159" s="414" t="s">
        <v>755</v>
      </c>
      <c r="R159" s="414"/>
      <c r="S159" s="414" t="s">
        <v>953</v>
      </c>
      <c r="T159" s="393" t="s">
        <v>794</v>
      </c>
      <c r="U159" s="394"/>
      <c r="V159" s="393" t="s">
        <v>794</v>
      </c>
      <c r="W159" s="393"/>
      <c r="X159" s="395"/>
      <c r="Y159" s="393"/>
      <c r="Z159" s="396"/>
      <c r="AA159" s="431"/>
      <c r="AB159" s="432"/>
      <c r="AC159" s="432"/>
      <c r="AD159" s="432"/>
      <c r="AE159" s="432"/>
      <c r="AF159" s="431"/>
      <c r="AG159" s="432"/>
      <c r="AH159" s="432"/>
      <c r="AI159" s="432"/>
      <c r="AJ159" s="433"/>
      <c r="AK159" s="399"/>
      <c r="AL159" s="399"/>
      <c r="AM159" s="399"/>
      <c r="AN159" s="399"/>
      <c r="AO159" s="399"/>
      <c r="AP159" s="431"/>
      <c r="AQ159" s="432"/>
      <c r="AR159" s="432"/>
      <c r="AS159" s="432"/>
      <c r="AT159" s="433"/>
      <c r="AU159" s="399"/>
      <c r="AV159" s="399"/>
      <c r="AW159" s="399"/>
      <c r="AX159" s="399"/>
      <c r="AY159" s="400"/>
      <c r="AZ159" s="432"/>
      <c r="BA159" s="432"/>
      <c r="BB159" s="432"/>
      <c r="BC159" s="432"/>
      <c r="BD159" s="433"/>
      <c r="BE159" s="399"/>
      <c r="BF159" s="399"/>
      <c r="BG159" s="399"/>
      <c r="BH159" s="399"/>
      <c r="BI159" s="399"/>
      <c r="BJ159" s="434"/>
      <c r="BK159" s="399"/>
      <c r="BL159" s="399"/>
      <c r="BM159" s="399"/>
      <c r="BN159" s="400"/>
    </row>
    <row r="160" spans="1:66" s="424" customFormat="1" ht="36" x14ac:dyDescent="0.25">
      <c r="A160" s="420">
        <v>54</v>
      </c>
      <c r="B160" s="429" t="s">
        <v>213</v>
      </c>
      <c r="C160" s="414" t="s">
        <v>756</v>
      </c>
      <c r="D160" s="413" t="s">
        <v>746</v>
      </c>
      <c r="E160" s="413" t="s">
        <v>746</v>
      </c>
      <c r="F160" s="413" t="s">
        <v>754</v>
      </c>
      <c r="G160" s="413" t="s">
        <v>571</v>
      </c>
      <c r="H160" s="413" t="s">
        <v>279</v>
      </c>
      <c r="I160" s="414" t="s">
        <v>401</v>
      </c>
      <c r="J160" s="414" t="s">
        <v>402</v>
      </c>
      <c r="K160" s="414" t="s">
        <v>350</v>
      </c>
      <c r="L160" s="413" t="s">
        <v>350</v>
      </c>
      <c r="M160" s="413"/>
      <c r="N160" s="413" t="s">
        <v>734</v>
      </c>
      <c r="O160" s="413" t="s">
        <v>286</v>
      </c>
      <c r="P160" s="413"/>
      <c r="Q160" s="414" t="s">
        <v>755</v>
      </c>
      <c r="R160" s="414"/>
      <c r="S160" s="414" t="s">
        <v>953</v>
      </c>
      <c r="T160" s="393" t="s">
        <v>794</v>
      </c>
      <c r="U160" s="394"/>
      <c r="V160" s="393" t="s">
        <v>794</v>
      </c>
      <c r="W160" s="393"/>
      <c r="X160" s="395"/>
      <c r="Y160" s="393"/>
      <c r="Z160" s="396"/>
      <c r="AA160" s="431"/>
      <c r="AB160" s="432"/>
      <c r="AC160" s="432"/>
      <c r="AD160" s="432"/>
      <c r="AE160" s="432"/>
      <c r="AF160" s="431"/>
      <c r="AG160" s="432"/>
      <c r="AH160" s="432"/>
      <c r="AI160" s="432"/>
      <c r="AJ160" s="433"/>
      <c r="AK160" s="399"/>
      <c r="AL160" s="399"/>
      <c r="AM160" s="399"/>
      <c r="AN160" s="399"/>
      <c r="AO160" s="399"/>
      <c r="AP160" s="431"/>
      <c r="AQ160" s="432"/>
      <c r="AR160" s="432"/>
      <c r="AS160" s="432"/>
      <c r="AT160" s="433"/>
      <c r="AU160" s="399"/>
      <c r="AV160" s="399"/>
      <c r="AW160" s="399"/>
      <c r="AX160" s="399"/>
      <c r="AY160" s="400"/>
      <c r="AZ160" s="432"/>
      <c r="BA160" s="432"/>
      <c r="BB160" s="432"/>
      <c r="BC160" s="432"/>
      <c r="BD160" s="433"/>
      <c r="BE160" s="399"/>
      <c r="BF160" s="399"/>
      <c r="BG160" s="399"/>
      <c r="BH160" s="399"/>
      <c r="BI160" s="399"/>
      <c r="BJ160" s="434"/>
      <c r="BK160" s="399"/>
      <c r="BL160" s="399"/>
      <c r="BM160" s="399"/>
      <c r="BN160" s="400"/>
    </row>
    <row r="161" spans="1:66" ht="36" x14ac:dyDescent="0.25">
      <c r="A161" s="94">
        <v>55</v>
      </c>
      <c r="B161" s="100" t="s">
        <v>214</v>
      </c>
      <c r="C161" s="130" t="s">
        <v>757</v>
      </c>
      <c r="D161" s="129" t="s">
        <v>746</v>
      </c>
      <c r="E161" s="129" t="s">
        <v>746</v>
      </c>
      <c r="F161" s="129" t="s">
        <v>758</v>
      </c>
      <c r="G161" s="129" t="s">
        <v>571</v>
      </c>
      <c r="H161" s="129" t="s">
        <v>279</v>
      </c>
      <c r="I161" s="130" t="s">
        <v>401</v>
      </c>
      <c r="J161" s="130" t="s">
        <v>402</v>
      </c>
      <c r="K161" s="130" t="s">
        <v>350</v>
      </c>
      <c r="L161" s="129" t="s">
        <v>350</v>
      </c>
      <c r="M161" s="129"/>
      <c r="N161" s="129" t="s">
        <v>734</v>
      </c>
      <c r="O161" s="129" t="s">
        <v>286</v>
      </c>
      <c r="P161" s="129"/>
      <c r="Q161" s="130" t="s">
        <v>755</v>
      </c>
      <c r="R161" s="130"/>
      <c r="S161" s="130"/>
      <c r="T161" s="189"/>
      <c r="U161" s="213" t="s">
        <v>794</v>
      </c>
      <c r="V161" s="189"/>
      <c r="W161" s="189"/>
      <c r="X161" s="214"/>
      <c r="Y161" s="189"/>
      <c r="Z161" s="215"/>
      <c r="AA161" s="40">
        <v>4716975000</v>
      </c>
      <c r="AB161" s="21">
        <v>3331937000</v>
      </c>
      <c r="AC161" s="21">
        <v>4958180000</v>
      </c>
      <c r="AD161" s="21">
        <v>2740623000</v>
      </c>
      <c r="AE161" s="21">
        <v>2482347000</v>
      </c>
      <c r="AF161" s="40">
        <v>1264408059</v>
      </c>
      <c r="AG161" s="21">
        <v>2026048033</v>
      </c>
      <c r="AH161" s="21">
        <v>2025848090</v>
      </c>
      <c r="AI161" s="21">
        <v>804522236</v>
      </c>
      <c r="AJ161" s="42">
        <v>490888080</v>
      </c>
      <c r="AK161" s="37">
        <v>1684476000</v>
      </c>
      <c r="AL161" s="37">
        <v>3443726000</v>
      </c>
      <c r="AM161" s="37">
        <v>2521841000</v>
      </c>
      <c r="AN161" s="37">
        <v>1832538000</v>
      </c>
      <c r="AO161" s="37">
        <v>2167802000</v>
      </c>
      <c r="AP161" s="40">
        <v>2410960000</v>
      </c>
      <c r="AQ161" s="21">
        <v>2531759000</v>
      </c>
      <c r="AR161" s="21">
        <v>1786090000</v>
      </c>
      <c r="AS161" s="21">
        <v>1963202000</v>
      </c>
      <c r="AT161" s="42">
        <v>1776796</v>
      </c>
      <c r="AU161" s="37">
        <v>1877122683</v>
      </c>
      <c r="AV161" s="37">
        <v>982817946</v>
      </c>
      <c r="AW161" s="37">
        <v>727065353</v>
      </c>
      <c r="AX161" s="37">
        <v>-1015493433</v>
      </c>
      <c r="AY161" s="38">
        <v>-1411139515</v>
      </c>
      <c r="AZ161" s="21">
        <v>1118478097</v>
      </c>
      <c r="BA161" s="21">
        <v>867737854</v>
      </c>
      <c r="BB161" s="21">
        <v>563402757</v>
      </c>
      <c r="BC161" s="21">
        <v>-11632865</v>
      </c>
      <c r="BD161" s="42">
        <v>507740626</v>
      </c>
      <c r="BE161" s="37">
        <v>762967722</v>
      </c>
      <c r="BF161" s="37">
        <v>485906703</v>
      </c>
      <c r="BG161" s="37">
        <v>123730338</v>
      </c>
      <c r="BH161" s="37">
        <v>-227540122</v>
      </c>
      <c r="BI161" s="37">
        <v>34772251</v>
      </c>
      <c r="BJ161" s="36">
        <v>780679235</v>
      </c>
      <c r="BK161" s="37">
        <v>342275023</v>
      </c>
      <c r="BL161" s="37">
        <v>350923790</v>
      </c>
      <c r="BM161" s="37">
        <v>238337248</v>
      </c>
      <c r="BN161" s="38">
        <v>302397991</v>
      </c>
    </row>
    <row r="162" spans="1:66" s="424" customFormat="1" ht="36" x14ac:dyDescent="0.25">
      <c r="A162" s="420">
        <v>56</v>
      </c>
      <c r="B162" s="429" t="s">
        <v>215</v>
      </c>
      <c r="C162" s="414" t="s">
        <v>759</v>
      </c>
      <c r="D162" s="413" t="s">
        <v>746</v>
      </c>
      <c r="E162" s="413" t="s">
        <v>746</v>
      </c>
      <c r="F162" s="413" t="s">
        <v>760</v>
      </c>
      <c r="G162" s="413" t="s">
        <v>571</v>
      </c>
      <c r="H162" s="413" t="s">
        <v>279</v>
      </c>
      <c r="I162" s="414" t="s">
        <v>353</v>
      </c>
      <c r="J162" s="414" t="s">
        <v>332</v>
      </c>
      <c r="K162" s="414" t="s">
        <v>333</v>
      </c>
      <c r="L162" s="413" t="s">
        <v>334</v>
      </c>
      <c r="M162" s="413"/>
      <c r="N162" s="413" t="s">
        <v>285</v>
      </c>
      <c r="O162" s="413" t="s">
        <v>286</v>
      </c>
      <c r="P162" s="413"/>
      <c r="Q162" s="414" t="s">
        <v>409</v>
      </c>
      <c r="R162" s="414"/>
      <c r="S162" s="414" t="s">
        <v>953</v>
      </c>
      <c r="T162" s="393" t="s">
        <v>794</v>
      </c>
      <c r="U162" s="394"/>
      <c r="V162" s="393" t="s">
        <v>794</v>
      </c>
      <c r="W162" s="393"/>
      <c r="X162" s="395"/>
      <c r="Y162" s="393"/>
      <c r="Z162" s="396"/>
      <c r="AA162" s="431"/>
      <c r="AB162" s="432"/>
      <c r="AC162" s="432"/>
      <c r="AD162" s="432"/>
      <c r="AE162" s="432"/>
      <c r="AF162" s="431"/>
      <c r="AG162" s="432"/>
      <c r="AH162" s="432"/>
      <c r="AI162" s="432"/>
      <c r="AJ162" s="433"/>
      <c r="AK162" s="399"/>
      <c r="AL162" s="399"/>
      <c r="AM162" s="399"/>
      <c r="AN162" s="399"/>
      <c r="AO162" s="399"/>
      <c r="AP162" s="431"/>
      <c r="AQ162" s="432"/>
      <c r="AR162" s="432"/>
      <c r="AS162" s="432"/>
      <c r="AT162" s="433"/>
      <c r="AU162" s="399"/>
      <c r="AV162" s="399"/>
      <c r="AW162" s="399"/>
      <c r="AX162" s="399"/>
      <c r="AY162" s="400"/>
      <c r="AZ162" s="432"/>
      <c r="BA162" s="432"/>
      <c r="BB162" s="432"/>
      <c r="BC162" s="432"/>
      <c r="BD162" s="433"/>
      <c r="BE162" s="399"/>
      <c r="BF162" s="399"/>
      <c r="BG162" s="399"/>
      <c r="BH162" s="399"/>
      <c r="BI162" s="399"/>
      <c r="BJ162" s="434"/>
      <c r="BK162" s="399"/>
      <c r="BL162" s="399"/>
      <c r="BM162" s="399"/>
      <c r="BN162" s="400"/>
    </row>
    <row r="163" spans="1:66" ht="24" x14ac:dyDescent="0.25">
      <c r="A163" s="94">
        <v>57</v>
      </c>
      <c r="B163" s="17" t="s">
        <v>216</v>
      </c>
      <c r="C163" s="146" t="s">
        <v>761</v>
      </c>
      <c r="D163" s="142" t="s">
        <v>746</v>
      </c>
      <c r="E163" s="142" t="s">
        <v>746</v>
      </c>
      <c r="F163" s="142" t="s">
        <v>760</v>
      </c>
      <c r="G163" s="142" t="s">
        <v>571</v>
      </c>
      <c r="H163" s="142" t="s">
        <v>279</v>
      </c>
      <c r="I163" s="146" t="s">
        <v>401</v>
      </c>
      <c r="J163" s="146" t="s">
        <v>402</v>
      </c>
      <c r="K163" s="146" t="s">
        <v>350</v>
      </c>
      <c r="L163" s="142" t="s">
        <v>350</v>
      </c>
      <c r="M163" s="142"/>
      <c r="N163" s="142" t="s">
        <v>734</v>
      </c>
      <c r="O163" s="142" t="s">
        <v>286</v>
      </c>
      <c r="P163" s="142"/>
      <c r="Q163" s="146" t="s">
        <v>735</v>
      </c>
      <c r="R163" s="146"/>
      <c r="S163" s="146" t="s">
        <v>972</v>
      </c>
      <c r="T163" s="189" t="s">
        <v>794</v>
      </c>
      <c r="U163" s="213" t="s">
        <v>794</v>
      </c>
      <c r="V163" s="189"/>
      <c r="W163" s="189"/>
      <c r="X163" s="214"/>
      <c r="Y163" s="189"/>
      <c r="Z163" s="215"/>
      <c r="AA163" s="35">
        <f>1074800000+4961569000</f>
        <v>6036369000</v>
      </c>
      <c r="AB163" s="19">
        <f>735678000+3959691000</f>
        <v>4695369000</v>
      </c>
      <c r="AC163" s="19">
        <f>998041000+6018505000</f>
        <v>7016546000</v>
      </c>
      <c r="AD163" s="19">
        <f>1201024000+4267159000</f>
        <v>5468183000</v>
      </c>
      <c r="AE163" s="19">
        <f>1320865000+2911471000</f>
        <v>4232336000</v>
      </c>
      <c r="AF163" s="35">
        <f>666726104+2550903120</f>
        <v>3217629224</v>
      </c>
      <c r="AG163" s="19">
        <f>524945033+3130419087</f>
        <v>3655364120</v>
      </c>
      <c r="AH163" s="19">
        <f>767444290+2767820966</f>
        <v>3535265256</v>
      </c>
      <c r="AI163" s="19">
        <f>511271956+2609511607</f>
        <v>3120783563</v>
      </c>
      <c r="AJ163" s="27">
        <f>536224978+2353454821</f>
        <v>2889679799</v>
      </c>
      <c r="AK163" s="19">
        <f>4309649000+417304000</f>
        <v>4726953000</v>
      </c>
      <c r="AL163" s="19">
        <f>4172233000+290496000</f>
        <v>4462729000</v>
      </c>
      <c r="AM163" s="19">
        <f>3977942000+313387000</f>
        <v>4291329000</v>
      </c>
      <c r="AN163" s="19">
        <f>3706347000+204083000</f>
        <v>3910430000</v>
      </c>
      <c r="AO163" s="19">
        <f>3360962000+329545000</f>
        <v>3690507000</v>
      </c>
      <c r="AP163" s="35">
        <f>2525327000+2944533000</f>
        <v>5469860000</v>
      </c>
      <c r="AQ163" s="19">
        <f>2340346000+2905031000</f>
        <v>5245377000</v>
      </c>
      <c r="AR163" s="19">
        <f>2754804000+2847456000</f>
        <v>5602260000</v>
      </c>
      <c r="AS163" s="19">
        <f>2594830000+2669216000</f>
        <v>5264046000</v>
      </c>
      <c r="AT163" s="27">
        <f>2219666000+2870697000</f>
        <v>5090363000</v>
      </c>
      <c r="AU163" s="19">
        <f>558417753+5909437+4460073394</f>
        <v>5024400584</v>
      </c>
      <c r="AV163" s="19">
        <f>485996856+17666135+3552483440</f>
        <v>4056146431</v>
      </c>
      <c r="AW163" s="19">
        <f>149652919+29540450+2683966083</f>
        <v>2863159452</v>
      </c>
      <c r="AX163" s="19">
        <f>281696673+130187427+2447472950</f>
        <v>2859357050</v>
      </c>
      <c r="AY163" s="27">
        <f>106595182+163381813+1217263683</f>
        <v>1487240678</v>
      </c>
      <c r="AZ163" s="19">
        <f>846657686+203595569+331009120</f>
        <v>1381262375</v>
      </c>
      <c r="BA163" s="19">
        <f>586933364+24433716+351875817</f>
        <v>963242897</v>
      </c>
      <c r="BB163" s="19">
        <f>484364698+289071833</f>
        <v>773436531</v>
      </c>
      <c r="BC163" s="19">
        <f>468414403+11658233+307500749</f>
        <v>787573385</v>
      </c>
      <c r="BD163" s="27">
        <f>509581901+89905892+517916541</f>
        <v>1117404334</v>
      </c>
      <c r="BE163" s="19">
        <f>375936967+190209752</f>
        <v>566146719</v>
      </c>
      <c r="BF163" s="19">
        <f>383984497+212232174</f>
        <v>596216671</v>
      </c>
      <c r="BG163" s="19">
        <f>312473204+153606850</f>
        <v>466080054</v>
      </c>
      <c r="BH163" s="19">
        <f>211059310+91348064</f>
        <v>302407374</v>
      </c>
      <c r="BI163" s="19">
        <f>283121342+123972143</f>
        <v>407093485</v>
      </c>
      <c r="BJ163" s="35">
        <f>23709686+383872634+350436327</f>
        <v>758018647</v>
      </c>
      <c r="BK163" s="19">
        <f>61838702+301335223+114032235</f>
        <v>477206160</v>
      </c>
      <c r="BL163" s="19">
        <f>208452850+106447321+448775076</f>
        <v>763675247</v>
      </c>
      <c r="BM163" s="19">
        <f>61835476+61713023+280838674</f>
        <v>404387173</v>
      </c>
      <c r="BN163" s="27">
        <f>78258916+395802+315544995</f>
        <v>394199713</v>
      </c>
    </row>
    <row r="164" spans="1:66" ht="36" x14ac:dyDescent="0.25">
      <c r="A164" s="94">
        <v>58</v>
      </c>
      <c r="B164" s="17" t="s">
        <v>217</v>
      </c>
      <c r="C164" s="146" t="s">
        <v>762</v>
      </c>
      <c r="D164" s="142" t="s">
        <v>746</v>
      </c>
      <c r="E164" s="142" t="s">
        <v>746</v>
      </c>
      <c r="F164" s="142" t="s">
        <v>760</v>
      </c>
      <c r="G164" s="142" t="s">
        <v>571</v>
      </c>
      <c r="H164" s="142" t="s">
        <v>279</v>
      </c>
      <c r="I164" s="146" t="s">
        <v>353</v>
      </c>
      <c r="J164" s="146" t="s">
        <v>332</v>
      </c>
      <c r="K164" s="146" t="s">
        <v>333</v>
      </c>
      <c r="L164" s="142" t="s">
        <v>334</v>
      </c>
      <c r="M164" s="142"/>
      <c r="N164" s="142" t="s">
        <v>285</v>
      </c>
      <c r="O164" s="142" t="s">
        <v>286</v>
      </c>
      <c r="P164" s="142"/>
      <c r="Q164" s="146" t="s">
        <v>763</v>
      </c>
      <c r="R164" s="146"/>
      <c r="S164" s="146" t="s">
        <v>972</v>
      </c>
      <c r="T164" s="189" t="s">
        <v>794</v>
      </c>
      <c r="U164" s="213" t="s">
        <v>794</v>
      </c>
      <c r="V164" s="189"/>
      <c r="W164" s="189"/>
      <c r="X164" s="214"/>
      <c r="Y164" s="189"/>
      <c r="Z164" s="215"/>
      <c r="AA164" s="35">
        <v>2178739000</v>
      </c>
      <c r="AB164" s="19">
        <v>2879653000</v>
      </c>
      <c r="AC164" s="19">
        <v>2181500000</v>
      </c>
      <c r="AD164" s="19">
        <v>2780370000</v>
      </c>
      <c r="AE164" s="19">
        <v>2080305000</v>
      </c>
      <c r="AF164" s="35">
        <v>1046960083</v>
      </c>
      <c r="AG164" s="19">
        <v>874303916</v>
      </c>
      <c r="AH164" s="19">
        <v>963358574</v>
      </c>
      <c r="AI164" s="19">
        <v>709796272</v>
      </c>
      <c r="AJ164" s="27">
        <v>1077083391</v>
      </c>
      <c r="AK164" s="19">
        <v>547825000</v>
      </c>
      <c r="AL164" s="19">
        <v>1004470000</v>
      </c>
      <c r="AM164" s="19">
        <v>437252000</v>
      </c>
      <c r="AN164" s="19">
        <v>272692000</v>
      </c>
      <c r="AO164" s="19">
        <v>378968000</v>
      </c>
      <c r="AP164" s="35">
        <v>1439675000</v>
      </c>
      <c r="AQ164" s="19">
        <v>992720000</v>
      </c>
      <c r="AR164" s="19">
        <v>394630000</v>
      </c>
      <c r="AS164" s="19">
        <v>628768000</v>
      </c>
      <c r="AT164" s="27">
        <v>574189000</v>
      </c>
      <c r="AU164" s="19">
        <v>1343750067</v>
      </c>
      <c r="AV164" s="19">
        <v>887674954</v>
      </c>
      <c r="AW164" s="19">
        <v>1573793206</v>
      </c>
      <c r="AX164" s="19">
        <v>1445288730</v>
      </c>
      <c r="AY164" s="27">
        <v>1425172319</v>
      </c>
      <c r="AZ164" s="19">
        <v>186057236</v>
      </c>
      <c r="BA164" s="19">
        <v>409730233</v>
      </c>
      <c r="BB164" s="19">
        <v>298900288</v>
      </c>
      <c r="BC164" s="19">
        <v>522486629</v>
      </c>
      <c r="BD164" s="27">
        <v>66176181</v>
      </c>
      <c r="BE164" s="19">
        <v>241010582</v>
      </c>
      <c r="BF164" s="19">
        <v>106769757</v>
      </c>
      <c r="BG164" s="19">
        <v>58206738</v>
      </c>
      <c r="BH164" s="19">
        <v>210998044</v>
      </c>
      <c r="BI164" s="19">
        <v>24317321</v>
      </c>
      <c r="BJ164" s="35">
        <v>564849390</v>
      </c>
      <c r="BK164" s="19">
        <v>316518477</v>
      </c>
      <c r="BL164" s="19">
        <v>440626459</v>
      </c>
      <c r="BM164" s="19">
        <v>216770042</v>
      </c>
      <c r="BN164" s="27">
        <v>93235427</v>
      </c>
    </row>
    <row r="165" spans="1:66" ht="24" x14ac:dyDescent="0.25">
      <c r="A165" s="94">
        <v>59</v>
      </c>
      <c r="B165" s="100" t="s">
        <v>218</v>
      </c>
      <c r="C165" s="130" t="s">
        <v>764</v>
      </c>
      <c r="D165" s="129" t="s">
        <v>746</v>
      </c>
      <c r="E165" s="129" t="s">
        <v>746</v>
      </c>
      <c r="F165" s="129" t="s">
        <v>760</v>
      </c>
      <c r="G165" s="129" t="s">
        <v>571</v>
      </c>
      <c r="H165" s="129" t="s">
        <v>279</v>
      </c>
      <c r="I165" s="130" t="s">
        <v>401</v>
      </c>
      <c r="J165" s="130" t="s">
        <v>402</v>
      </c>
      <c r="K165" s="130" t="s">
        <v>350</v>
      </c>
      <c r="L165" s="129" t="s">
        <v>350</v>
      </c>
      <c r="M165" s="129"/>
      <c r="N165" s="129" t="s">
        <v>734</v>
      </c>
      <c r="O165" s="129" t="s">
        <v>286</v>
      </c>
      <c r="P165" s="129"/>
      <c r="Q165" s="130" t="s">
        <v>765</v>
      </c>
      <c r="R165" s="130"/>
      <c r="S165" s="332" t="s">
        <v>972</v>
      </c>
      <c r="T165" s="189"/>
      <c r="U165" s="213" t="s">
        <v>794</v>
      </c>
      <c r="V165" s="189"/>
      <c r="W165" s="189"/>
      <c r="X165" s="214"/>
      <c r="Y165" s="189"/>
      <c r="Z165" s="215"/>
      <c r="AA165" s="40">
        <v>7892502000</v>
      </c>
      <c r="AB165" s="21">
        <v>7447294000</v>
      </c>
      <c r="AC165" s="21">
        <v>7098305000</v>
      </c>
      <c r="AD165" s="21">
        <v>6468824000</v>
      </c>
      <c r="AE165" s="21">
        <v>5925902000</v>
      </c>
      <c r="AF165" s="40">
        <v>5977317312</v>
      </c>
      <c r="AG165" s="21">
        <v>5247100572</v>
      </c>
      <c r="AH165" s="21">
        <v>4815286269</v>
      </c>
      <c r="AI165" s="21">
        <v>4304765696</v>
      </c>
      <c r="AJ165" s="42">
        <v>3572319226</v>
      </c>
      <c r="AK165" s="37">
        <v>8640854000</v>
      </c>
      <c r="AL165" s="37">
        <v>7446199000</v>
      </c>
      <c r="AM165" s="37">
        <v>6955786000</v>
      </c>
      <c r="AN165" s="37">
        <v>6184573000</v>
      </c>
      <c r="AO165" s="37">
        <v>5632296000</v>
      </c>
      <c r="AP165" s="40">
        <v>6576461000</v>
      </c>
      <c r="AQ165" s="21">
        <v>5911639000</v>
      </c>
      <c r="AR165" s="21">
        <v>6576031000</v>
      </c>
      <c r="AS165" s="21">
        <v>4914202000</v>
      </c>
      <c r="AT165" s="42">
        <v>4632868000</v>
      </c>
      <c r="AU165" s="37">
        <v>4766617621</v>
      </c>
      <c r="AV165" s="37">
        <v>4299619422</v>
      </c>
      <c r="AW165" s="37">
        <v>4257136931</v>
      </c>
      <c r="AX165" s="37">
        <v>3934436655</v>
      </c>
      <c r="AY165" s="38">
        <v>3987222239</v>
      </c>
      <c r="AZ165" s="21">
        <v>1750402267</v>
      </c>
      <c r="BA165" s="21">
        <v>1716616688</v>
      </c>
      <c r="BB165" s="21">
        <v>1858808571</v>
      </c>
      <c r="BC165" s="21">
        <v>1912238132</v>
      </c>
      <c r="BD165" s="42">
        <v>1629721414</v>
      </c>
      <c r="BE165" s="37">
        <v>1129245617</v>
      </c>
      <c r="BF165" s="37">
        <v>982560038</v>
      </c>
      <c r="BG165" s="37">
        <v>952656803</v>
      </c>
      <c r="BH165" s="37">
        <v>861417819</v>
      </c>
      <c r="BI165" s="37">
        <v>784865582</v>
      </c>
      <c r="BJ165" s="36">
        <v>1029344532</v>
      </c>
      <c r="BK165" s="37">
        <v>920307503</v>
      </c>
      <c r="BL165" s="37">
        <v>860487677</v>
      </c>
      <c r="BM165" s="37">
        <v>749171468</v>
      </c>
      <c r="BN165" s="38">
        <v>695516688</v>
      </c>
    </row>
    <row r="166" spans="1:66" ht="24" x14ac:dyDescent="0.25">
      <c r="A166" s="94">
        <v>60</v>
      </c>
      <c r="B166" s="100" t="s">
        <v>219</v>
      </c>
      <c r="C166" s="130" t="s">
        <v>766</v>
      </c>
      <c r="D166" s="129" t="s">
        <v>746</v>
      </c>
      <c r="E166" s="129" t="s">
        <v>746</v>
      </c>
      <c r="F166" s="129" t="s">
        <v>760</v>
      </c>
      <c r="G166" s="129" t="s">
        <v>571</v>
      </c>
      <c r="H166" s="129" t="s">
        <v>279</v>
      </c>
      <c r="I166" s="130" t="s">
        <v>401</v>
      </c>
      <c r="J166" s="130" t="s">
        <v>402</v>
      </c>
      <c r="K166" s="130" t="s">
        <v>350</v>
      </c>
      <c r="L166" s="129" t="s">
        <v>350</v>
      </c>
      <c r="M166" s="129"/>
      <c r="N166" s="129" t="s">
        <v>734</v>
      </c>
      <c r="O166" s="129" t="s">
        <v>286</v>
      </c>
      <c r="P166" s="129"/>
      <c r="Q166" s="130" t="s">
        <v>767</v>
      </c>
      <c r="R166" s="130"/>
      <c r="S166" s="332" t="s">
        <v>972</v>
      </c>
      <c r="T166" s="189"/>
      <c r="U166" s="213" t="s">
        <v>794</v>
      </c>
      <c r="V166" s="189"/>
      <c r="W166" s="189"/>
      <c r="X166" s="214"/>
      <c r="Y166" s="189"/>
      <c r="Z166" s="215"/>
      <c r="AA166" s="40">
        <v>31554713000</v>
      </c>
      <c r="AB166" s="21">
        <v>29785988000</v>
      </c>
      <c r="AC166" s="21">
        <v>26057141000</v>
      </c>
      <c r="AD166" s="21">
        <v>24789476000</v>
      </c>
      <c r="AE166" s="21">
        <v>23609381000</v>
      </c>
      <c r="AF166" s="40">
        <v>17544520387</v>
      </c>
      <c r="AG166" s="21">
        <v>16359268905</v>
      </c>
      <c r="AH166" s="21">
        <v>14118095380</v>
      </c>
      <c r="AI166" s="21">
        <v>12018548348</v>
      </c>
      <c r="AJ166" s="42">
        <v>10385573703</v>
      </c>
      <c r="AK166" s="37">
        <v>20580357000</v>
      </c>
      <c r="AL166" s="37">
        <v>19477444000</v>
      </c>
      <c r="AM166" s="37">
        <f>16416945000</f>
        <v>16416945000</v>
      </c>
      <c r="AN166" s="37">
        <f>14733817000</f>
        <v>14733817000</v>
      </c>
      <c r="AO166" s="37">
        <v>14152253000</v>
      </c>
      <c r="AP166" s="40">
        <v>23064108000</v>
      </c>
      <c r="AQ166" s="21">
        <v>21252681000</v>
      </c>
      <c r="AR166" s="21">
        <v>21188542000</v>
      </c>
      <c r="AS166" s="21">
        <v>18871890000</v>
      </c>
      <c r="AT166" s="42">
        <v>17355298000</v>
      </c>
      <c r="AU166" s="37">
        <v>14346669489</v>
      </c>
      <c r="AV166" s="37">
        <v>13118783748</v>
      </c>
      <c r="AW166" s="37">
        <v>10470284769</v>
      </c>
      <c r="AX166" s="37">
        <v>9324933355</v>
      </c>
      <c r="AY166" s="38">
        <f>7856804523</f>
        <v>7856804523</v>
      </c>
      <c r="AZ166" s="21">
        <f>3193940450+2279245040</f>
        <v>5473185490</v>
      </c>
      <c r="BA166" s="21">
        <f>3432861399+2314792251</f>
        <v>5747653650</v>
      </c>
      <c r="BB166" s="21">
        <f>3184901109+2238383038</f>
        <v>5423284147</v>
      </c>
      <c r="BC166" s="21">
        <f>3132274591+1887634559</f>
        <v>5019909150</v>
      </c>
      <c r="BD166" s="42">
        <f>2467722107+2035884538</f>
        <v>4503606645</v>
      </c>
      <c r="BE166" s="37">
        <v>2068053496</v>
      </c>
      <c r="BF166" s="37">
        <v>2229944914</v>
      </c>
      <c r="BG166" s="37">
        <v>2457910079</v>
      </c>
      <c r="BH166" s="37">
        <v>1890568295</v>
      </c>
      <c r="BI166" s="37">
        <v>1591326950</v>
      </c>
      <c r="BJ166" s="36">
        <v>3453534246</v>
      </c>
      <c r="BK166" s="37">
        <v>3174446083</v>
      </c>
      <c r="BL166" s="37">
        <v>1943714326</v>
      </c>
      <c r="BM166" s="37">
        <v>1587525944</v>
      </c>
      <c r="BN166" s="38">
        <v>1347534742</v>
      </c>
    </row>
    <row r="167" spans="1:66" ht="24" x14ac:dyDescent="0.25">
      <c r="A167" s="94">
        <v>61</v>
      </c>
      <c r="B167" s="100" t="s">
        <v>220</v>
      </c>
      <c r="C167" s="130" t="s">
        <v>768</v>
      </c>
      <c r="D167" s="129" t="s">
        <v>746</v>
      </c>
      <c r="E167" s="129" t="s">
        <v>746</v>
      </c>
      <c r="F167" s="129" t="s">
        <v>760</v>
      </c>
      <c r="G167" s="129" t="s">
        <v>571</v>
      </c>
      <c r="H167" s="129" t="s">
        <v>279</v>
      </c>
      <c r="I167" s="130" t="s">
        <v>401</v>
      </c>
      <c r="J167" s="130" t="s">
        <v>402</v>
      </c>
      <c r="K167" s="130" t="s">
        <v>350</v>
      </c>
      <c r="L167" s="129" t="s">
        <v>350</v>
      </c>
      <c r="M167" s="129"/>
      <c r="N167" s="129" t="s">
        <v>734</v>
      </c>
      <c r="O167" s="129" t="s">
        <v>286</v>
      </c>
      <c r="P167" s="129"/>
      <c r="Q167" s="130" t="s">
        <v>769</v>
      </c>
      <c r="R167" s="130"/>
      <c r="S167" s="332" t="s">
        <v>972</v>
      </c>
      <c r="T167" s="189"/>
      <c r="U167" s="213" t="s">
        <v>794</v>
      </c>
      <c r="V167" s="189"/>
      <c r="W167" s="189"/>
      <c r="X167" s="214"/>
      <c r="Y167" s="189"/>
      <c r="Z167" s="215"/>
      <c r="AA167" s="40">
        <v>5327242000</v>
      </c>
      <c r="AB167" s="21">
        <v>5400846000</v>
      </c>
      <c r="AC167" s="21">
        <v>2174445000</v>
      </c>
      <c r="AD167" s="21">
        <v>695161000</v>
      </c>
      <c r="AE167" s="21">
        <v>305832000</v>
      </c>
      <c r="AF167" s="40">
        <v>174299426</v>
      </c>
      <c r="AG167" s="21">
        <v>686118280</v>
      </c>
      <c r="AH167" s="21">
        <v>643631587</v>
      </c>
      <c r="AI167" s="21">
        <v>414103598</v>
      </c>
      <c r="AJ167" s="42">
        <v>111632939</v>
      </c>
      <c r="AK167" s="37">
        <v>2266559000</v>
      </c>
      <c r="AL167" s="37">
        <v>4730196000</v>
      </c>
      <c r="AM167" s="37">
        <v>3481533000</v>
      </c>
      <c r="AN167" s="37">
        <v>3304129000</v>
      </c>
      <c r="AO167" s="37">
        <v>4653456000</v>
      </c>
      <c r="AP167" s="40">
        <v>996029000</v>
      </c>
      <c r="AQ167" s="21">
        <v>979463000</v>
      </c>
      <c r="AR167" s="21">
        <v>783420000</v>
      </c>
      <c r="AS167" s="21">
        <v>684619000</v>
      </c>
      <c r="AT167" s="42">
        <v>520717000</v>
      </c>
      <c r="AU167" s="37">
        <v>5894540499</v>
      </c>
      <c r="AV167" s="37">
        <v>4374377023</v>
      </c>
      <c r="AW167" s="37">
        <v>3050454531</v>
      </c>
      <c r="AX167" s="37">
        <v>1431951245</v>
      </c>
      <c r="AY167" s="38">
        <v>704129378</v>
      </c>
      <c r="AZ167" s="21">
        <v>130077012</v>
      </c>
      <c r="BA167" s="21">
        <v>274851075</v>
      </c>
      <c r="BB167" s="21">
        <v>224886488</v>
      </c>
      <c r="BC167" s="21">
        <v>189039374</v>
      </c>
      <c r="BD167" s="42">
        <v>166403825</v>
      </c>
      <c r="BE167" s="37">
        <v>2162739494</v>
      </c>
      <c r="BF167" s="37">
        <v>1841692449</v>
      </c>
      <c r="BG167" s="37">
        <v>1522347706</v>
      </c>
      <c r="BH167" s="37">
        <v>741246762</v>
      </c>
      <c r="BI167" s="37">
        <v>559471089</v>
      </c>
      <c r="BJ167" s="36">
        <v>132390525</v>
      </c>
      <c r="BK167" s="37">
        <v>257366261</v>
      </c>
      <c r="BL167" s="37">
        <v>341761026</v>
      </c>
      <c r="BM167" s="37">
        <v>246465537</v>
      </c>
      <c r="BN167" s="38">
        <v>45461179</v>
      </c>
    </row>
    <row r="168" spans="1:66" ht="28.5" customHeight="1" x14ac:dyDescent="0.25">
      <c r="A168" s="94">
        <v>62</v>
      </c>
      <c r="B168" s="17" t="s">
        <v>221</v>
      </c>
      <c r="C168" s="146" t="s">
        <v>770</v>
      </c>
      <c r="D168" s="142" t="s">
        <v>746</v>
      </c>
      <c r="E168" s="142" t="s">
        <v>746</v>
      </c>
      <c r="F168" s="142" t="s">
        <v>760</v>
      </c>
      <c r="G168" s="142" t="s">
        <v>571</v>
      </c>
      <c r="H168" s="142" t="s">
        <v>306</v>
      </c>
      <c r="I168" s="146" t="s">
        <v>353</v>
      </c>
      <c r="J168" s="146" t="s">
        <v>332</v>
      </c>
      <c r="K168" s="146" t="s">
        <v>333</v>
      </c>
      <c r="L168" s="142" t="s">
        <v>334</v>
      </c>
      <c r="M168" s="142"/>
      <c r="N168" s="142" t="s">
        <v>285</v>
      </c>
      <c r="O168" s="142" t="s">
        <v>286</v>
      </c>
      <c r="P168" s="142"/>
      <c r="Q168" s="146" t="s">
        <v>293</v>
      </c>
      <c r="R168" s="146"/>
      <c r="S168" s="146" t="s">
        <v>972</v>
      </c>
      <c r="T168" s="189" t="s">
        <v>794</v>
      </c>
      <c r="U168" s="213" t="s">
        <v>794</v>
      </c>
      <c r="V168" s="189"/>
      <c r="W168" s="189"/>
      <c r="X168" s="214"/>
      <c r="Y168" s="189"/>
      <c r="Z168" s="215"/>
      <c r="AA168" s="32">
        <f>(14681234-310373)/13797925</f>
        <v>1.0415233449957149</v>
      </c>
      <c r="AB168" s="20">
        <f>(13240591-355783)/13330846</f>
        <v>0.96654090820642591</v>
      </c>
      <c r="AC168" s="20">
        <f>(9848368-313352)/10455509</f>
        <v>0.91196095761574114</v>
      </c>
      <c r="AD168" s="20">
        <f>(6660810-214456)/9036289</f>
        <v>0.71338510753695461</v>
      </c>
      <c r="AE168" s="20">
        <f>(4867644-177858)/7673758</f>
        <v>0.61114593397394079</v>
      </c>
      <c r="AF168" s="32">
        <f>(4588000011-411003764)/6329985191</f>
        <v>0.65987456857543225</v>
      </c>
      <c r="AG168" s="20">
        <f>(5496257049-399467833)/6544586364</f>
        <v>0.77877942661679267</v>
      </c>
      <c r="AH168" s="20">
        <f>(5029072029-417521069)/6037825774</f>
        <v>0.76377675219748731</v>
      </c>
      <c r="AI168" s="20">
        <f>(4463034076-328973678)/4897877738</f>
        <v>0.84405136655944846</v>
      </c>
      <c r="AJ168" s="33">
        <f>(3980440230-213011451)/4535887643</f>
        <v>0.83058247371141947</v>
      </c>
      <c r="AK168" s="20">
        <f>(9904351-269283)/8155256</f>
        <v>1.1814550027614092</v>
      </c>
      <c r="AL168" s="20">
        <f>(12900815-256550)/7988695</f>
        <v>1.5827697765404738</v>
      </c>
      <c r="AM168" s="20">
        <f>(10930435-254385)/7140811</f>
        <v>1.4950752792644981</v>
      </c>
      <c r="AN168" s="20">
        <f>(9617108-236634)/5943541</f>
        <v>1.5782635301077252</v>
      </c>
      <c r="AO168" s="20">
        <f>(8620943-199558)/5534253</f>
        <v>1.5216841369557914</v>
      </c>
      <c r="AP168" s="32">
        <f>(12876058-341913)/10700845</f>
        <v>1.1713229188909848</v>
      </c>
      <c r="AQ168" s="20">
        <f>(11289663-233332)/9328437</f>
        <v>1.1852286722845424</v>
      </c>
      <c r="AR168" s="20">
        <f>(11541307-240744)/8222796</f>
        <v>1.3742968936600155</v>
      </c>
      <c r="AS168" s="20">
        <f>(9339088-216592)/7490248</f>
        <v>1.2179164161186653</v>
      </c>
      <c r="AT168" s="33">
        <f>(7983108-229164)/7215104</f>
        <v>1.0746822221827987</v>
      </c>
      <c r="AU168" s="20">
        <f>(11235554047-155324378)/6495612003</f>
        <v>1.7058022652650118</v>
      </c>
      <c r="AV168" s="20">
        <f>(8582096013-128801347)/6094810989</f>
        <v>1.3869658437737651</v>
      </c>
      <c r="AW168" s="20">
        <f>(6095487704-155946657)/3830113070</f>
        <v>1.5507482255608709</v>
      </c>
      <c r="AX168" s="20">
        <f>(4460585229-145166073)/3553158582</f>
        <v>1.2145304118599005</v>
      </c>
      <c r="AY168" s="33">
        <f>(2710890786-159983121)/3715256139</f>
        <v>0.68660344524364436</v>
      </c>
      <c r="AZ168" s="20">
        <f>(3199272748-107225607)/2279245040</f>
        <v>1.3566102313422168</v>
      </c>
      <c r="BA168" s="20">
        <f>(2626290180-105955694)/2314792251</f>
        <v>1.0887951110563832</v>
      </c>
      <c r="BB168" s="20">
        <f>(2111714868-108101071)/2238383038</f>
        <v>0.89511659219426232</v>
      </c>
      <c r="BC168" s="20">
        <f>(1429709616-108055758)/1887634559</f>
        <v>0.70016405013275662</v>
      </c>
      <c r="BD168" s="33"/>
      <c r="BE168" s="20">
        <f>(2881136719-84508538)/1065249830</f>
        <v>2.6253260993245124</v>
      </c>
      <c r="BF168" s="20">
        <f>(2577140688-71653231)/1237583504</f>
        <v>2.0244997197376993</v>
      </c>
      <c r="BG168" s="20">
        <f>(2421232708-117116161)/1443045960</f>
        <v>1.5967035083206913</v>
      </c>
      <c r="BH168" s="20">
        <f>(1220127877-137420107)/914142891</f>
        <v>1.1843966415530545</v>
      </c>
      <c r="BI168" s="20">
        <f>(1170828692-96790994)/789017320</f>
        <v>1.3612346279039857</v>
      </c>
      <c r="BJ168" s="32">
        <f>(1340705401-175113814)/2145985001</f>
        <v>0.54314992250964012</v>
      </c>
      <c r="BK168" s="20">
        <f>(876506088-129166795)/2055779284</f>
        <v>0.3635308998473204</v>
      </c>
      <c r="BL168" s="20">
        <f>(1153088730-47163654)/1340584424</f>
        <v>0.82495742617997181</v>
      </c>
      <c r="BM168" s="20">
        <f>(714595939-40952174)/1048730810</f>
        <v>0.64234192280476632</v>
      </c>
      <c r="BN168" s="33">
        <f>(507170215-53449088)/911090915</f>
        <v>0.49799764165138227</v>
      </c>
    </row>
    <row r="169" spans="1:66" ht="34.5" customHeight="1" x14ac:dyDescent="0.25">
      <c r="A169" s="94">
        <v>63</v>
      </c>
      <c r="B169" s="17" t="s">
        <v>222</v>
      </c>
      <c r="C169" s="146" t="s">
        <v>771</v>
      </c>
      <c r="D169" s="142" t="s">
        <v>746</v>
      </c>
      <c r="E169" s="142" t="s">
        <v>746</v>
      </c>
      <c r="F169" s="142" t="s">
        <v>760</v>
      </c>
      <c r="G169" s="142" t="s">
        <v>571</v>
      </c>
      <c r="H169" s="142" t="s">
        <v>306</v>
      </c>
      <c r="I169" s="146" t="s">
        <v>353</v>
      </c>
      <c r="J169" s="146" t="s">
        <v>332</v>
      </c>
      <c r="K169" s="146" t="s">
        <v>333</v>
      </c>
      <c r="L169" s="142" t="s">
        <v>334</v>
      </c>
      <c r="M169" s="142"/>
      <c r="N169" s="142" t="s">
        <v>285</v>
      </c>
      <c r="O169" s="142" t="s">
        <v>286</v>
      </c>
      <c r="P169" s="142"/>
      <c r="Q169" s="146" t="s">
        <v>293</v>
      </c>
      <c r="R169" s="146"/>
      <c r="S169" s="146" t="s">
        <v>972</v>
      </c>
      <c r="T169" s="189" t="s">
        <v>794</v>
      </c>
      <c r="U169" s="213" t="s">
        <v>794</v>
      </c>
      <c r="V169" s="189"/>
      <c r="W169" s="189"/>
      <c r="X169" s="214"/>
      <c r="Y169" s="189"/>
      <c r="Z169" s="215"/>
      <c r="AA169" s="32">
        <f>31554713/38296955</f>
        <v>0.82394835307402381</v>
      </c>
      <c r="AB169" s="20">
        <f>29785988/34915602</f>
        <v>0.85308533417238519</v>
      </c>
      <c r="AC169" s="20">
        <f>26057141/35059590</f>
        <v>0.74322435031328093</v>
      </c>
      <c r="AD169" s="20">
        <f>24789476/29823853</f>
        <v>0.83119629110296378</v>
      </c>
      <c r="AE169" s="20">
        <f>23609381/26092141</f>
        <v>0.90484644399246505</v>
      </c>
      <c r="AF169" s="32">
        <f>17544520387/23205145162</f>
        <v>0.75606165203958053</v>
      </c>
      <c r="AG169" s="20">
        <f>16359268905/21718394806</f>
        <v>0.75324484388139634</v>
      </c>
      <c r="AH169" s="20">
        <f>14118095380/18846452897</f>
        <v>0.74911154142153369</v>
      </c>
      <c r="AI169" s="20">
        <f>12018548348/15238607319</f>
        <v>0.78869073114147881</v>
      </c>
      <c r="AJ169" s="33">
        <f>10385573703/13689663549</f>
        <v>0.75864345868154248</v>
      </c>
      <c r="AK169" s="20">
        <f>20580357/28190924</f>
        <v>0.73003485093287468</v>
      </c>
      <c r="AL169" s="20">
        <f>19477444/27363454</f>
        <v>0.71180502286005265</v>
      </c>
      <c r="AM169" s="20">
        <f>16416945/23823188</f>
        <v>0.68911620896414028</v>
      </c>
      <c r="AN169" s="20">
        <f>14733817/20620599</f>
        <v>0.71451935028657509</v>
      </c>
      <c r="AO169" s="20">
        <f>14152253/18708553</f>
        <v>0.75645898429450953</v>
      </c>
      <c r="AP169" s="32">
        <f>23064108/26233454</f>
        <v>0.87918685812398167</v>
      </c>
      <c r="AQ169" s="20">
        <f>21252681/24425184</f>
        <v>0.87011344520475264</v>
      </c>
      <c r="AR169" s="20">
        <f>21188542/22500472</f>
        <v>0.94169322314660775</v>
      </c>
      <c r="AS169" s="20">
        <f>18871890/19290065</f>
        <v>0.97832174230620783</v>
      </c>
      <c r="AT169" s="33">
        <f>17355298/18958818</f>
        <v>0.91542088752579409</v>
      </c>
      <c r="AU169" s="20">
        <f>14346669489/25064763396</f>
        <v>0.57238399829816611</v>
      </c>
      <c r="AV169" s="20">
        <f>13118783748/22243406190</f>
        <v>0.58978304113772961</v>
      </c>
      <c r="AW169" s="20">
        <f>10470284769/20856136015</f>
        <v>0.50202418901898405</v>
      </c>
      <c r="AX169" s="20">
        <f>9324933355/16862233223</f>
        <v>0.55300702058140427</v>
      </c>
      <c r="AY169" s="33">
        <f>7856804523/13995782819</f>
        <v>0.5613694228188495</v>
      </c>
      <c r="AZ169" s="20">
        <f>+(3193940450+2279245040)/8491847390</f>
        <v>0.64452235640094324</v>
      </c>
      <c r="BA169" s="20">
        <f>(3432861399+2314792251)/7946202186</f>
        <v>0.72332084126005403</v>
      </c>
      <c r="BB169" s="20">
        <f>(3184901109+2238383038)/7606936684</f>
        <v>0.71293930425463237</v>
      </c>
      <c r="BC169" s="20">
        <f>(3132274591+1887634559)/6333024030</f>
        <v>0.79265594544096496</v>
      </c>
      <c r="BD169" s="33"/>
      <c r="BE169" s="20">
        <f>2068053495/5170123855</f>
        <v>0.40000076458516487</v>
      </c>
      <c r="BF169" s="20">
        <f>2229944914/4443512283</f>
        <v>0.50184286032725256</v>
      </c>
      <c r="BG169" s="20">
        <f>2457910079/3591525566</f>
        <v>0.68436379856748597</v>
      </c>
      <c r="BH169" s="20">
        <f>1890568295/3038833486</f>
        <v>0.62213619262454056</v>
      </c>
      <c r="BI169" s="20">
        <f>1591326950/2769512039</f>
        <v>0.57458748241245683</v>
      </c>
      <c r="BJ169" s="32">
        <f>3453534246/4302761082</f>
        <v>0.80263211927972899</v>
      </c>
      <c r="BK169" s="20">
        <f>3174446083/3133503001</f>
        <v>1.013066233537014</v>
      </c>
      <c r="BL169" s="20">
        <f>1943714326/4072877392</f>
        <v>0.47723369473823829</v>
      </c>
      <c r="BM169" s="20">
        <f>1587525944/3138140054</f>
        <v>0.50588116421906515</v>
      </c>
      <c r="BN169" s="33">
        <f>1347534742/2730055221</f>
        <v>0.49359248546862999</v>
      </c>
    </row>
    <row r="170" spans="1:66" ht="15.75" x14ac:dyDescent="0.25">
      <c r="A170" s="94">
        <v>64</v>
      </c>
      <c r="B170" s="17" t="s">
        <v>223</v>
      </c>
      <c r="C170" s="146" t="s">
        <v>772</v>
      </c>
      <c r="D170" s="142" t="s">
        <v>746</v>
      </c>
      <c r="E170" s="142" t="s">
        <v>746</v>
      </c>
      <c r="F170" s="142" t="s">
        <v>760</v>
      </c>
      <c r="G170" s="142" t="s">
        <v>571</v>
      </c>
      <c r="H170" s="142" t="s">
        <v>306</v>
      </c>
      <c r="I170" s="146" t="s">
        <v>353</v>
      </c>
      <c r="J170" s="146" t="s">
        <v>332</v>
      </c>
      <c r="K170" s="146" t="s">
        <v>333</v>
      </c>
      <c r="L170" s="142" t="s">
        <v>334</v>
      </c>
      <c r="M170" s="142"/>
      <c r="N170" s="142" t="s">
        <v>285</v>
      </c>
      <c r="O170" s="142" t="s">
        <v>286</v>
      </c>
      <c r="P170" s="142"/>
      <c r="Q170" s="146" t="s">
        <v>293</v>
      </c>
      <c r="R170" s="146"/>
      <c r="S170" s="146" t="s">
        <v>972</v>
      </c>
      <c r="T170" s="189" t="s">
        <v>794</v>
      </c>
      <c r="U170" s="213" t="s">
        <v>794</v>
      </c>
      <c r="V170" s="189"/>
      <c r="W170" s="189"/>
      <c r="X170" s="214"/>
      <c r="Y170" s="189"/>
      <c r="Z170" s="215"/>
      <c r="AA170" s="32">
        <f>14681234/13797925</f>
        <v>1.0640175243741359</v>
      </c>
      <c r="AB170" s="20">
        <f>13240591/13330846</f>
        <v>0.99322961198411563</v>
      </c>
      <c r="AC170" s="20">
        <f>9848368/10455509</f>
        <v>0.94193099542069159</v>
      </c>
      <c r="AD170" s="20">
        <f>6660810/9036289</f>
        <v>0.73711785889096726</v>
      </c>
      <c r="AE170" s="20">
        <f>4867644/7673758</f>
        <v>0.63432336542278245</v>
      </c>
      <c r="AF170" s="32">
        <f>4588000011/6329985191</f>
        <v>0.72480422505936315</v>
      </c>
      <c r="AG170" s="20">
        <f>5496257049/6544586364</f>
        <v>0.83981733043258833</v>
      </c>
      <c r="AH170" s="20">
        <f>(5029072029)/6037825774</f>
        <v>0.83292764932968399</v>
      </c>
      <c r="AI170" s="20">
        <f>(4463034076)/4897877738</f>
        <v>0.91121794269663337</v>
      </c>
      <c r="AJ170" s="33">
        <f>(3980440230)/4535887643</f>
        <v>0.87754383337576869</v>
      </c>
      <c r="AK170" s="20">
        <f>(9904351)/8155256</f>
        <v>1.2144745670767416</v>
      </c>
      <c r="AL170" s="20">
        <f>(12900815)/7988695</f>
        <v>1.6148839078222412</v>
      </c>
      <c r="AM170" s="20">
        <f>(10930435)/7140811</f>
        <v>1.5306993841455823</v>
      </c>
      <c r="AN170" s="20">
        <f>(9617108)/5943541</f>
        <v>1.6180771698218284</v>
      </c>
      <c r="AO170" s="20">
        <f>(8620943)/5534253</f>
        <v>1.5577428426203139</v>
      </c>
      <c r="AP170" s="32">
        <f>(12876058)/10700845</f>
        <v>1.2032748815630916</v>
      </c>
      <c r="AQ170" s="20">
        <f>(11289663)/9328437</f>
        <v>1.2102416514149155</v>
      </c>
      <c r="AR170" s="20">
        <f>(11541307/8222796)</f>
        <v>1.4035745262317101</v>
      </c>
      <c r="AS170" s="20">
        <f>(9339088)/7490248</f>
        <v>1.2468329486553715</v>
      </c>
      <c r="AT170" s="33">
        <f>(7983108)/7215104</f>
        <v>1.1064439265185921</v>
      </c>
      <c r="AU170" s="20">
        <f>(11235554047)/6495612003</f>
        <v>1.729714465982706</v>
      </c>
      <c r="AV170" s="20">
        <f>(8582096013)/6094810989</f>
        <v>1.4080987955966291</v>
      </c>
      <c r="AW170" s="20">
        <f>(6095487704)/3830113070</f>
        <v>1.5914641663568434</v>
      </c>
      <c r="AX170" s="20">
        <f>(4460585229)/3553158582</f>
        <v>1.2553859125784439</v>
      </c>
      <c r="AY170" s="33">
        <f>(2710890786)/3715256139</f>
        <v>0.72966457347128277</v>
      </c>
      <c r="AZ170" s="20">
        <f>(3199272748)/2279245040</f>
        <v>1.403654583800257</v>
      </c>
      <c r="BA170" s="20">
        <f>(2626290180)/2314792251</f>
        <v>1.1345684170427959</v>
      </c>
      <c r="BB170" s="20">
        <f>(2111714868)/2238383038</f>
        <v>0.94341086049634371</v>
      </c>
      <c r="BC170" s="20">
        <f>(1429709616)/1887634559</f>
        <v>0.75740805294294256</v>
      </c>
      <c r="BD170" s="33"/>
      <c r="BE170" s="20">
        <f>(2881136719)/1065249830</f>
        <v>2.7046582293282317</v>
      </c>
      <c r="BF170" s="20">
        <f>(2577140688)/1237583504</f>
        <v>2.0823974137263548</v>
      </c>
      <c r="BG170" s="20">
        <f>(2421232708)/1443045960</f>
        <v>1.6778625041159465</v>
      </c>
      <c r="BH170" s="20">
        <f>(1220127877)/914142891</f>
        <v>1.3347233665683016</v>
      </c>
      <c r="BI170" s="20">
        <f>(1170828692)/789017320</f>
        <v>1.4839074660617082</v>
      </c>
      <c r="BJ170" s="32">
        <f>(1340705401)/2145985001</f>
        <v>0.62475059256017607</v>
      </c>
      <c r="BK170" s="20">
        <f>(876506088)/2055779284</f>
        <v>0.42636196153049666</v>
      </c>
      <c r="BL170" s="20">
        <f>(1153088730)/1340584424</f>
        <v>0.86013883896953292</v>
      </c>
      <c r="BM170" s="20">
        <f>(714595939)/1048730810</f>
        <v>0.68139119418070682</v>
      </c>
      <c r="BN170" s="33">
        <f>(507170215)/911090915</f>
        <v>0.55666257521621754</v>
      </c>
    </row>
    <row r="171" spans="1:66" ht="48" x14ac:dyDescent="0.25">
      <c r="A171" s="94">
        <v>65</v>
      </c>
      <c r="B171" s="17" t="s">
        <v>224</v>
      </c>
      <c r="C171" s="146" t="s">
        <v>773</v>
      </c>
      <c r="D171" s="142" t="s">
        <v>746</v>
      </c>
      <c r="E171" s="142" t="s">
        <v>746</v>
      </c>
      <c r="F171" s="142" t="s">
        <v>760</v>
      </c>
      <c r="G171" s="142" t="s">
        <v>571</v>
      </c>
      <c r="H171" s="142" t="s">
        <v>306</v>
      </c>
      <c r="I171" s="146" t="s">
        <v>353</v>
      </c>
      <c r="J171" s="146" t="s">
        <v>332</v>
      </c>
      <c r="K171" s="146" t="s">
        <v>333</v>
      </c>
      <c r="L171" s="142" t="s">
        <v>334</v>
      </c>
      <c r="M171" s="142"/>
      <c r="N171" s="142" t="s">
        <v>285</v>
      </c>
      <c r="O171" s="142" t="s">
        <v>286</v>
      </c>
      <c r="P171" s="142"/>
      <c r="Q171" s="146" t="s">
        <v>293</v>
      </c>
      <c r="R171" s="146"/>
      <c r="S171" s="146" t="s">
        <v>972</v>
      </c>
      <c r="T171" s="189" t="s">
        <v>794</v>
      </c>
      <c r="U171" s="213" t="s">
        <v>794</v>
      </c>
      <c r="V171" s="189"/>
      <c r="W171" s="189"/>
      <c r="X171" s="214"/>
      <c r="Y171" s="189"/>
      <c r="Z171" s="215"/>
      <c r="AA171" s="32">
        <f>31554713/66640004</f>
        <v>0.47351007061764283</v>
      </c>
      <c r="AB171" s="20">
        <f>29785988/60533731</f>
        <v>0.49205604062303709</v>
      </c>
      <c r="AC171" s="20">
        <f>26862064/52919205</f>
        <v>0.50760520684314892</v>
      </c>
      <c r="AD171" s="20">
        <f>24789476/47440465</f>
        <v>0.52253863869167383</v>
      </c>
      <c r="AE171" s="20">
        <f>23609381/42930190</f>
        <v>0.54994820661171073</v>
      </c>
      <c r="AF171" s="32">
        <f>17544520387/32166784730</f>
        <v>0.54542350235699166</v>
      </c>
      <c r="AG171" s="20">
        <f>16359268905/29903450898</f>
        <v>0.54706959945195288</v>
      </c>
      <c r="AH171" s="20">
        <f>14118095380/25781290994</f>
        <v>0.5476101015765914</v>
      </c>
      <c r="AI171" s="20">
        <f>12018548348/21655895874</f>
        <v>0.55497811856536639</v>
      </c>
      <c r="AJ171" s="33">
        <f>10385573703/19061221263</f>
        <v>0.5448535306160881</v>
      </c>
      <c r="AK171" s="20">
        <f>20580357/44722029</f>
        <v>0.46018388387521503</v>
      </c>
      <c r="AL171" s="20">
        <f>19477444/41934640</f>
        <v>0.46447147274902084</v>
      </c>
      <c r="AM171" s="20">
        <f>16416945/35846493</f>
        <v>0.45797911109463346</v>
      </c>
      <c r="AN171" s="20">
        <f>14733817/31645628</f>
        <v>0.46558775828370352</v>
      </c>
      <c r="AO171" s="20">
        <f>14152253/29237981</f>
        <v>0.48403660293780204</v>
      </c>
      <c r="AP171" s="32">
        <f>23064108/52347610</f>
        <v>0.44059524398535099</v>
      </c>
      <c r="AQ171" s="20">
        <f>21252681/48110140</f>
        <v>0.44175055404120628</v>
      </c>
      <c r="AR171" s="20">
        <f>21188542/46712280</f>
        <v>0.45359682721545597</v>
      </c>
      <c r="AS171" s="20">
        <f>18871890/42609538</f>
        <v>0.44290294816151254</v>
      </c>
      <c r="AT171" s="33">
        <f>17355298/38651565</f>
        <v>0.44901928291907456</v>
      </c>
      <c r="AU171" s="20">
        <f>14346669489/56028539832</f>
        <v>0.25606002819309737</v>
      </c>
      <c r="AV171" s="20">
        <f>13118783748/52923531407</f>
        <v>0.24788186652005664</v>
      </c>
      <c r="AW171" s="20">
        <f>10470284769/50140242129</f>
        <v>0.20881998818558198</v>
      </c>
      <c r="AX171" s="20">
        <f>9324933355/48267347942</f>
        <v>0.19319340615534164</v>
      </c>
      <c r="AY171" s="33">
        <f>7856804523/50360937950</f>
        <v>0.15600989264339149</v>
      </c>
      <c r="AZ171" s="20">
        <f>+(3193940450+2279245040)/16653623173</f>
        <v>0.32864833274680461</v>
      </c>
      <c r="BA171" s="20">
        <f>(3432861399+2314792251)/15809613236</f>
        <v>0.3635543491293034</v>
      </c>
      <c r="BB171" s="20">
        <f>(3184901109+2238383038)/14907344245</f>
        <v>0.36379948419175989</v>
      </c>
      <c r="BC171" s="20">
        <f>(3132274591+1887634559)/13940566491</f>
        <v>0.36009362698717035</v>
      </c>
      <c r="BD171" s="33"/>
      <c r="BE171" s="20">
        <f>2068053495/13699847598</f>
        <v>0.15095448910701087</v>
      </c>
      <c r="BF171" s="20">
        <f>2229944914/13095067182</f>
        <v>0.17028892505913987</v>
      </c>
      <c r="BG171" s="20">
        <f>2457910079/13764710189</f>
        <v>0.17856606098138025</v>
      </c>
      <c r="BH171" s="20">
        <f>1890568295/13086951443</f>
        <v>0.14446208524837423</v>
      </c>
      <c r="BI171" s="20">
        <f>1591326950/12795928522</f>
        <v>0.12436197555058522</v>
      </c>
      <c r="BJ171" s="32">
        <f>3453534246/14404541952</f>
        <v>0.23975314574445691</v>
      </c>
      <c r="BK171" s="20">
        <f>3174446083/13341849170</f>
        <v>0.23793149229553162</v>
      </c>
      <c r="BL171" s="20">
        <f>1943714326/12406859925</f>
        <v>0.15666448543385164</v>
      </c>
      <c r="BM171" s="20">
        <f>1587525944/11686739754</f>
        <v>0.13583993289973281</v>
      </c>
      <c r="BN171" s="33">
        <f>1347534742/4743859134</f>
        <v>0.28405875974309652</v>
      </c>
    </row>
    <row r="172" spans="1:66" ht="36" x14ac:dyDescent="0.25">
      <c r="A172" s="94">
        <v>66</v>
      </c>
      <c r="B172" s="17" t="s">
        <v>225</v>
      </c>
      <c r="C172" s="146" t="s">
        <v>774</v>
      </c>
      <c r="D172" s="142"/>
      <c r="E172" s="142" t="s">
        <v>660</v>
      </c>
      <c r="F172" s="142" t="s">
        <v>738</v>
      </c>
      <c r="G172" s="142"/>
      <c r="H172" s="142" t="s">
        <v>384</v>
      </c>
      <c r="I172" s="146" t="s">
        <v>401</v>
      </c>
      <c r="J172" s="146" t="s">
        <v>402</v>
      </c>
      <c r="K172" s="146" t="s">
        <v>775</v>
      </c>
      <c r="L172" s="142" t="s">
        <v>776</v>
      </c>
      <c r="M172" s="142"/>
      <c r="N172" s="142" t="s">
        <v>285</v>
      </c>
      <c r="O172" s="142" t="s">
        <v>286</v>
      </c>
      <c r="P172" s="142"/>
      <c r="Q172" s="146" t="s">
        <v>755</v>
      </c>
      <c r="R172" s="146"/>
      <c r="S172" s="146" t="s">
        <v>972</v>
      </c>
      <c r="T172" s="189" t="s">
        <v>794</v>
      </c>
      <c r="U172" s="213" t="s">
        <v>794</v>
      </c>
      <c r="V172" s="189"/>
      <c r="W172" s="189"/>
      <c r="X172" s="214"/>
      <c r="Y172" s="189"/>
      <c r="Z172" s="215"/>
      <c r="AA172" s="35">
        <v>915793000</v>
      </c>
      <c r="AB172" s="19">
        <v>1649836000</v>
      </c>
      <c r="AC172" s="19">
        <v>913521000</v>
      </c>
      <c r="AD172" s="19">
        <v>864881000</v>
      </c>
      <c r="AE172" s="19">
        <v>0</v>
      </c>
      <c r="AF172" s="35">
        <v>419267207</v>
      </c>
      <c r="AG172" s="19">
        <v>775162390</v>
      </c>
      <c r="AH172" s="19">
        <v>570397687</v>
      </c>
      <c r="AI172" s="19">
        <v>811402855</v>
      </c>
      <c r="AJ172" s="27">
        <v>746049485</v>
      </c>
      <c r="AK172" s="23">
        <f>28679285000-28190924000</f>
        <v>488361000</v>
      </c>
      <c r="AL172" s="19">
        <f>27635438000-27363454000</f>
        <v>271984000</v>
      </c>
      <c r="AM172" s="19">
        <v>215170000</v>
      </c>
      <c r="AN172" s="23">
        <v>-2129894000</v>
      </c>
      <c r="AO172" s="23">
        <v>77872000</v>
      </c>
      <c r="AP172" s="35">
        <v>582927000</v>
      </c>
      <c r="AQ172" s="19">
        <v>838210000</v>
      </c>
      <c r="AR172" s="19">
        <v>785002000</v>
      </c>
      <c r="AS172" s="19">
        <v>1391343000</v>
      </c>
      <c r="AT172" s="34">
        <v>-402822000</v>
      </c>
      <c r="AU172" s="19">
        <v>945779833</v>
      </c>
      <c r="AV172" s="19">
        <v>1698064282</v>
      </c>
      <c r="AW172" s="19">
        <v>287293601</v>
      </c>
      <c r="AX172" s="23">
        <v>124656450</v>
      </c>
      <c r="AY172" s="34">
        <v>425487059</v>
      </c>
      <c r="AZ172" s="19">
        <v>422871940</v>
      </c>
      <c r="BA172" s="19">
        <v>452439734</v>
      </c>
      <c r="BB172" s="19">
        <v>936505608</v>
      </c>
      <c r="BC172" s="19">
        <v>81492541</v>
      </c>
      <c r="BD172" s="34">
        <v>822605000</v>
      </c>
      <c r="BE172" s="23">
        <v>-43152647</v>
      </c>
      <c r="BF172" s="19">
        <v>30555844</v>
      </c>
      <c r="BG172" s="19">
        <v>0</v>
      </c>
      <c r="BH172" s="19">
        <v>0</v>
      </c>
      <c r="BI172" s="23">
        <v>0</v>
      </c>
      <c r="BJ172" s="43">
        <v>-133595140</v>
      </c>
      <c r="BK172" s="19">
        <v>13655540</v>
      </c>
      <c r="BL172" s="19">
        <v>605365520</v>
      </c>
      <c r="BM172" s="23">
        <v>601510438</v>
      </c>
      <c r="BN172" s="34">
        <v>0</v>
      </c>
    </row>
    <row r="173" spans="1:66" ht="36" x14ac:dyDescent="0.25">
      <c r="A173" s="290">
        <v>67</v>
      </c>
      <c r="B173" s="17" t="s">
        <v>226</v>
      </c>
      <c r="C173" s="146" t="s">
        <v>777</v>
      </c>
      <c r="D173" s="142"/>
      <c r="E173" s="142" t="s">
        <v>660</v>
      </c>
      <c r="F173" s="142" t="s">
        <v>738</v>
      </c>
      <c r="G173" s="142"/>
      <c r="H173" s="142" t="s">
        <v>384</v>
      </c>
      <c r="I173" s="146" t="s">
        <v>401</v>
      </c>
      <c r="J173" s="146" t="s">
        <v>402</v>
      </c>
      <c r="K173" s="146" t="s">
        <v>350</v>
      </c>
      <c r="L173" s="142" t="s">
        <v>350</v>
      </c>
      <c r="M173" s="142"/>
      <c r="N173" s="142" t="s">
        <v>285</v>
      </c>
      <c r="O173" s="142" t="s">
        <v>286</v>
      </c>
      <c r="P173" s="142"/>
      <c r="Q173" s="146" t="s">
        <v>755</v>
      </c>
      <c r="R173" s="146"/>
      <c r="S173" s="146" t="s">
        <v>972</v>
      </c>
      <c r="T173" s="215" t="s">
        <v>794</v>
      </c>
      <c r="U173" s="189" t="s">
        <v>794</v>
      </c>
      <c r="V173" s="189"/>
      <c r="W173" s="189"/>
      <c r="X173" s="214"/>
      <c r="Y173" s="189"/>
      <c r="Z173" s="215"/>
      <c r="AA173" s="35">
        <v>16803000</v>
      </c>
      <c r="AB173" s="19">
        <v>4147000</v>
      </c>
      <c r="AC173" s="19">
        <v>1144000</v>
      </c>
      <c r="AD173" s="19">
        <v>2932000</v>
      </c>
      <c r="AE173" s="19">
        <v>1731000</v>
      </c>
      <c r="AF173" s="35">
        <v>329768</v>
      </c>
      <c r="AG173" s="19">
        <v>6678</v>
      </c>
      <c r="AH173" s="19">
        <f>15794261-4409212</f>
        <v>11385049</v>
      </c>
      <c r="AI173" s="19">
        <v>469472</v>
      </c>
      <c r="AJ173" s="27">
        <v>2288398</v>
      </c>
      <c r="AK173" s="19">
        <v>294000</v>
      </c>
      <c r="AL173" s="19">
        <v>0</v>
      </c>
      <c r="AM173" s="19">
        <v>0</v>
      </c>
      <c r="AN173" s="19">
        <v>731000</v>
      </c>
      <c r="AO173" s="19">
        <v>8000</v>
      </c>
      <c r="AP173" s="35">
        <v>27558000</v>
      </c>
      <c r="AQ173" s="19">
        <v>325271000</v>
      </c>
      <c r="AR173" s="19">
        <v>785002000</v>
      </c>
      <c r="AS173" s="19">
        <v>1327141000</v>
      </c>
      <c r="AT173" s="27">
        <v>532576000</v>
      </c>
      <c r="AU173" s="19">
        <v>770556</v>
      </c>
      <c r="AV173" s="19">
        <v>39113512</v>
      </c>
      <c r="AW173" s="19">
        <v>74760420</v>
      </c>
      <c r="AX173" s="19">
        <v>35731579</v>
      </c>
      <c r="AY173" s="27">
        <v>6706272</v>
      </c>
      <c r="AZ173" s="19">
        <v>3147050750</v>
      </c>
      <c r="BA173" s="19">
        <v>2654542418</v>
      </c>
      <c r="BB173" s="19">
        <v>557171342</v>
      </c>
      <c r="BC173" s="19">
        <v>69298697</v>
      </c>
      <c r="BD173" s="27">
        <v>66176181</v>
      </c>
      <c r="BE173" s="19">
        <v>400697</v>
      </c>
      <c r="BF173" s="19">
        <v>541057</v>
      </c>
      <c r="BG173" s="19">
        <v>1001316</v>
      </c>
      <c r="BH173" s="19">
        <v>1980224</v>
      </c>
      <c r="BI173" s="19">
        <v>199867</v>
      </c>
      <c r="BJ173" s="35">
        <v>148343</v>
      </c>
      <c r="BK173" s="19">
        <v>1176388</v>
      </c>
      <c r="BL173" s="19">
        <v>14450673</v>
      </c>
      <c r="BM173" s="19">
        <v>40953136</v>
      </c>
      <c r="BN173" s="27">
        <v>21326830</v>
      </c>
    </row>
    <row r="174" spans="1:66" customFormat="1" x14ac:dyDescent="0.25">
      <c r="T174" s="805"/>
      <c r="W174" s="810"/>
      <c r="Z174" s="805"/>
    </row>
    <row r="175" spans="1:66" s="288" customFormat="1" ht="59.25" customHeight="1" x14ac:dyDescent="0.25">
      <c r="A175" s="7"/>
      <c r="B175" s="92" t="s">
        <v>1043</v>
      </c>
      <c r="C175" s="814" t="s">
        <v>1099</v>
      </c>
      <c r="D175" s="22"/>
      <c r="E175" s="17" t="s">
        <v>1100</v>
      </c>
      <c r="F175" s="862" t="s">
        <v>738</v>
      </c>
      <c r="G175" s="862"/>
      <c r="H175" s="22"/>
      <c r="I175" s="17" t="s">
        <v>1101</v>
      </c>
      <c r="J175" s="22"/>
      <c r="K175" s="22"/>
      <c r="L175" s="22"/>
      <c r="M175" s="22"/>
      <c r="N175" s="17" t="s">
        <v>285</v>
      </c>
      <c r="O175" s="17" t="s">
        <v>1102</v>
      </c>
      <c r="P175" s="22"/>
      <c r="Q175" s="22"/>
      <c r="R175" s="22"/>
      <c r="S175" s="146" t="s">
        <v>972</v>
      </c>
      <c r="T175" s="153"/>
      <c r="U175" s="7"/>
      <c r="V175" s="7"/>
      <c r="W175" s="811"/>
      <c r="X175" s="7"/>
      <c r="Y175" s="7"/>
      <c r="Z175" s="153"/>
    </row>
    <row r="176" spans="1:66" s="288" customFormat="1" x14ac:dyDescent="0.25">
      <c r="A176" s="7"/>
      <c r="B176" s="7" t="s">
        <v>1056</v>
      </c>
      <c r="D176" s="22"/>
      <c r="E176" s="22"/>
      <c r="F176" s="22"/>
      <c r="G176" s="22"/>
      <c r="H176" s="22"/>
      <c r="I176" s="22"/>
      <c r="J176" s="22"/>
      <c r="K176" s="22"/>
      <c r="L176" s="22"/>
      <c r="M176" s="22"/>
      <c r="N176" s="22"/>
      <c r="O176" s="22"/>
      <c r="P176" s="22"/>
      <c r="Q176" s="22"/>
      <c r="R176" s="22"/>
      <c r="S176" s="22"/>
      <c r="T176" s="153"/>
      <c r="U176" s="7"/>
      <c r="V176" s="7"/>
      <c r="W176" s="811"/>
      <c r="X176" s="7"/>
      <c r="Y176" s="7"/>
      <c r="Z176" s="153"/>
      <c r="AA176" s="738" t="s">
        <v>1032</v>
      </c>
      <c r="AB176" s="803" t="s">
        <v>1033</v>
      </c>
      <c r="AC176" s="807" t="s">
        <v>217</v>
      </c>
      <c r="AD176" s="808" t="s">
        <v>1034</v>
      </c>
      <c r="AE176" s="808" t="s">
        <v>1035</v>
      </c>
      <c r="AF176" s="809" t="s">
        <v>1036</v>
      </c>
      <c r="AG176" s="808" t="s">
        <v>381</v>
      </c>
      <c r="AH176" s="809" t="s">
        <v>1062</v>
      </c>
      <c r="AI176" s="804" t="s">
        <v>1063</v>
      </c>
    </row>
    <row r="177" spans="1:35" s="288" customFormat="1" x14ac:dyDescent="0.25">
      <c r="A177" s="7"/>
      <c r="B177" s="7" t="s">
        <v>1030</v>
      </c>
      <c r="D177" s="22"/>
      <c r="E177" s="22"/>
      <c r="F177" s="22"/>
      <c r="G177" s="22"/>
      <c r="H177" s="22"/>
      <c r="I177" s="22"/>
      <c r="J177" s="22"/>
      <c r="K177" s="22"/>
      <c r="L177" s="22"/>
      <c r="M177" s="22"/>
      <c r="N177" s="22"/>
      <c r="O177" s="22"/>
      <c r="P177" s="22"/>
      <c r="Q177" s="22"/>
      <c r="R177" s="22"/>
      <c r="S177" s="22"/>
      <c r="T177" s="153"/>
      <c r="U177" s="7"/>
      <c r="V177" s="7"/>
      <c r="W177" s="811"/>
      <c r="X177" s="7"/>
      <c r="Y177" s="7"/>
      <c r="Z177" s="153"/>
      <c r="AA177" s="3">
        <v>5888504</v>
      </c>
      <c r="AB177" s="3">
        <v>79244</v>
      </c>
      <c r="AC177" s="3">
        <v>1702638</v>
      </c>
      <c r="AD177" s="4">
        <v>477332</v>
      </c>
      <c r="AE177" s="4">
        <v>6265894</v>
      </c>
      <c r="AF177" s="4">
        <v>6265894</v>
      </c>
      <c r="AG177" s="4">
        <v>20477051</v>
      </c>
      <c r="AH177" s="7"/>
      <c r="AI177" s="207">
        <v>2.3300000000000001E-2</v>
      </c>
    </row>
    <row r="178" spans="1:35" s="288" customFormat="1" x14ac:dyDescent="0.25">
      <c r="A178" s="7"/>
      <c r="B178" s="7" t="s">
        <v>1031</v>
      </c>
      <c r="D178" s="22"/>
      <c r="E178" s="22"/>
      <c r="F178" s="22"/>
      <c r="G178" s="22"/>
      <c r="H178" s="22"/>
      <c r="I178" s="22"/>
      <c r="J178" s="22"/>
      <c r="K178" s="22"/>
      <c r="L178" s="22"/>
      <c r="M178" s="22"/>
      <c r="N178" s="22"/>
      <c r="O178" s="22"/>
      <c r="P178" s="22"/>
      <c r="Q178" s="22"/>
      <c r="R178" s="22"/>
      <c r="S178" s="22"/>
      <c r="T178" s="153"/>
      <c r="U178" s="7"/>
      <c r="V178" s="7"/>
      <c r="W178" s="811"/>
      <c r="X178" s="7"/>
      <c r="Y178" s="7"/>
      <c r="Z178" s="153"/>
      <c r="AA178" s="3">
        <v>7093194</v>
      </c>
      <c r="AB178" s="3">
        <v>108648</v>
      </c>
      <c r="AC178" s="3">
        <v>2855328</v>
      </c>
      <c r="AD178" s="3">
        <v>908284</v>
      </c>
      <c r="AE178" s="3">
        <v>10624086</v>
      </c>
      <c r="AF178" s="3">
        <v>6425826</v>
      </c>
      <c r="AG178" s="3">
        <v>28015401</v>
      </c>
      <c r="AH178" s="207">
        <v>6.5000000000000002E-2</v>
      </c>
      <c r="AI178" s="207">
        <v>3.2399999999999998E-2</v>
      </c>
    </row>
    <row r="179" spans="1:35" s="287" customFormat="1" x14ac:dyDescent="0.25">
      <c r="A179" s="3"/>
      <c r="B179" s="287" t="s">
        <v>1054</v>
      </c>
      <c r="D179" s="22"/>
      <c r="E179" s="22"/>
      <c r="F179" s="22"/>
      <c r="G179" s="22"/>
      <c r="H179" s="22"/>
      <c r="I179" s="22"/>
      <c r="J179" s="22"/>
      <c r="K179" s="22"/>
      <c r="L179" s="22"/>
      <c r="M179" s="22"/>
      <c r="N179" s="22"/>
      <c r="O179" s="22"/>
      <c r="P179" s="22"/>
      <c r="Q179" s="22"/>
      <c r="R179" s="22"/>
      <c r="S179" s="22"/>
      <c r="T179" s="153"/>
      <c r="U179" s="3"/>
      <c r="V179" s="3"/>
      <c r="W179" s="811"/>
      <c r="X179" s="3"/>
      <c r="Y179" s="3"/>
      <c r="Z179" s="153"/>
      <c r="AA179" s="22"/>
      <c r="AB179" s="3"/>
      <c r="AC179" s="3"/>
      <c r="AD179" s="3"/>
      <c r="AE179" s="3"/>
      <c r="AF179" s="3"/>
      <c r="AG179" s="3"/>
      <c r="AH179" s="3"/>
      <c r="AI179" s="3"/>
    </row>
    <row r="180" spans="1:35" s="287" customFormat="1" x14ac:dyDescent="0.25">
      <c r="A180" s="3"/>
      <c r="B180" s="7" t="s">
        <v>1030</v>
      </c>
      <c r="D180" s="22"/>
      <c r="E180" s="22"/>
      <c r="F180" s="22"/>
      <c r="G180" s="22"/>
      <c r="H180" s="22"/>
      <c r="I180" s="22"/>
      <c r="J180" s="22"/>
      <c r="K180" s="22"/>
      <c r="L180" s="22"/>
      <c r="M180" s="22"/>
      <c r="N180" s="22"/>
      <c r="O180" s="22"/>
      <c r="P180" s="22"/>
      <c r="Q180" s="22"/>
      <c r="R180" s="22"/>
      <c r="S180" s="22"/>
      <c r="T180" s="153"/>
      <c r="U180" s="3"/>
      <c r="V180" s="3"/>
      <c r="W180" s="811"/>
      <c r="X180" s="3"/>
      <c r="Y180" s="3"/>
      <c r="Z180" s="153"/>
      <c r="AA180" s="150">
        <v>5237528</v>
      </c>
      <c r="AB180" s="3">
        <v>91329</v>
      </c>
      <c r="AC180" s="3">
        <v>1042132</v>
      </c>
      <c r="AD180" s="3">
        <v>795698</v>
      </c>
      <c r="AE180" s="7">
        <v>3322067</v>
      </c>
      <c r="AF180" s="3">
        <v>3322067</v>
      </c>
      <c r="AG180" s="3">
        <v>14692773</v>
      </c>
      <c r="AH180" s="450"/>
      <c r="AI180" s="450">
        <v>5.3999999999999999E-2</v>
      </c>
    </row>
    <row r="181" spans="1:35" s="287" customFormat="1" x14ac:dyDescent="0.25">
      <c r="A181" s="3"/>
      <c r="B181" s="7" t="s">
        <v>1031</v>
      </c>
      <c r="D181" s="22"/>
      <c r="E181" s="22"/>
      <c r="F181" s="22"/>
      <c r="G181" s="22"/>
      <c r="H181" s="22"/>
      <c r="I181" s="22"/>
      <c r="J181" s="22"/>
      <c r="K181" s="22"/>
      <c r="L181" s="22"/>
      <c r="M181" s="22"/>
      <c r="N181" s="22"/>
      <c r="O181" s="22"/>
      <c r="P181" s="22"/>
      <c r="Q181" s="22"/>
      <c r="R181" s="22"/>
      <c r="S181" s="22"/>
      <c r="T181" s="153"/>
      <c r="U181" s="3"/>
      <c r="V181" s="3"/>
      <c r="W181" s="811"/>
      <c r="X181" s="3"/>
      <c r="Y181" s="3"/>
      <c r="Z181" s="153"/>
      <c r="AA181" s="150">
        <v>7829746</v>
      </c>
      <c r="AB181" s="3">
        <v>108246</v>
      </c>
      <c r="AC181" s="3">
        <v>1196234</v>
      </c>
      <c r="AD181" s="3">
        <v>0</v>
      </c>
      <c r="AE181" s="3">
        <v>5938047</v>
      </c>
      <c r="AF181" s="3">
        <v>6527650</v>
      </c>
      <c r="AG181" s="3">
        <v>21599923</v>
      </c>
      <c r="AH181" s="450">
        <v>0.08</v>
      </c>
      <c r="AI181" s="3"/>
    </row>
    <row r="182" spans="1:35" s="287" customFormat="1" x14ac:dyDescent="0.25">
      <c r="A182" s="3"/>
      <c r="B182" s="287" t="s">
        <v>1058</v>
      </c>
      <c r="D182" s="22"/>
      <c r="E182" s="22"/>
      <c r="F182" s="22"/>
      <c r="G182" s="22"/>
      <c r="H182" s="22"/>
      <c r="I182" s="22"/>
      <c r="J182" s="22"/>
      <c r="K182" s="22"/>
      <c r="L182" s="22"/>
      <c r="M182" s="22"/>
      <c r="N182" s="22"/>
      <c r="O182" s="22"/>
      <c r="P182" s="22"/>
      <c r="Q182" s="22"/>
      <c r="R182" s="22"/>
      <c r="S182" s="22"/>
      <c r="T182" s="153"/>
      <c r="U182" s="3"/>
      <c r="V182" s="3"/>
      <c r="W182" s="811"/>
      <c r="X182" s="3"/>
      <c r="Y182" s="3"/>
      <c r="Z182" s="153"/>
      <c r="AA182" s="22"/>
      <c r="AB182" s="3"/>
      <c r="AC182" s="3"/>
      <c r="AD182" s="661"/>
      <c r="AE182" s="3"/>
      <c r="AF182" s="3"/>
      <c r="AG182" s="3"/>
      <c r="AH182" s="3"/>
      <c r="AI182" s="3"/>
    </row>
    <row r="183" spans="1:35" s="287" customFormat="1" x14ac:dyDescent="0.25">
      <c r="A183" s="3"/>
      <c r="B183" s="7" t="s">
        <v>1030</v>
      </c>
      <c r="D183" s="22"/>
      <c r="E183" s="22"/>
      <c r="F183" s="22"/>
      <c r="G183" s="22"/>
      <c r="H183" s="22"/>
      <c r="I183" s="22"/>
      <c r="J183" s="22"/>
      <c r="K183" s="22"/>
      <c r="L183" s="22"/>
      <c r="M183" s="22"/>
      <c r="N183" s="22"/>
      <c r="O183" s="22"/>
      <c r="P183" s="22"/>
      <c r="Q183" s="22"/>
      <c r="R183" s="22"/>
      <c r="S183" s="22"/>
      <c r="T183" s="153"/>
      <c r="U183" s="3"/>
      <c r="V183" s="3"/>
      <c r="W183" s="811"/>
      <c r="X183" s="3"/>
      <c r="Y183" s="3"/>
      <c r="Z183" s="153"/>
      <c r="AA183" s="150">
        <v>4719555</v>
      </c>
      <c r="AB183" s="3">
        <v>80415</v>
      </c>
      <c r="AC183" s="3">
        <v>549276</v>
      </c>
      <c r="AD183" s="3">
        <v>1731035</v>
      </c>
      <c r="AE183" s="3">
        <v>4212084</v>
      </c>
      <c r="AF183" s="3">
        <v>4212084</v>
      </c>
      <c r="AG183" s="3">
        <v>14802600</v>
      </c>
      <c r="AH183" s="3"/>
      <c r="AI183" s="450">
        <v>0.11700000000000001</v>
      </c>
    </row>
    <row r="184" spans="1:35" s="287" customFormat="1" x14ac:dyDescent="0.25">
      <c r="A184" s="3"/>
      <c r="B184" s="7" t="s">
        <v>1031</v>
      </c>
      <c r="D184" s="22"/>
      <c r="E184" s="22"/>
      <c r="F184" s="22"/>
      <c r="G184" s="22"/>
      <c r="H184" s="22"/>
      <c r="I184" s="22"/>
      <c r="J184" s="22"/>
      <c r="K184" s="22"/>
      <c r="L184" s="22"/>
      <c r="M184" s="22"/>
      <c r="N184" s="22"/>
      <c r="O184" s="22"/>
      <c r="P184" s="22"/>
      <c r="Q184" s="22"/>
      <c r="R184" s="22"/>
      <c r="S184" s="22"/>
      <c r="T184" s="153"/>
      <c r="U184" s="3"/>
      <c r="V184" s="3"/>
      <c r="W184" s="811"/>
      <c r="X184" s="3"/>
      <c r="Y184" s="3"/>
      <c r="Z184" s="153"/>
      <c r="AA184" s="150">
        <v>6210567</v>
      </c>
      <c r="AB184" s="3">
        <v>85334</v>
      </c>
      <c r="AC184" s="3">
        <v>1458312</v>
      </c>
      <c r="AD184" s="3">
        <v>1819030</v>
      </c>
      <c r="AE184" s="3">
        <v>7062692</v>
      </c>
      <c r="AF184" s="3">
        <v>3077080</v>
      </c>
      <c r="AG184" s="3">
        <v>19713014</v>
      </c>
      <c r="AH184" s="450">
        <v>5.8999999999999997E-2</v>
      </c>
      <c r="AI184" s="450">
        <v>9.2299999999999993E-2</v>
      </c>
    </row>
    <row r="185" spans="1:35" s="287" customFormat="1" x14ac:dyDescent="0.25">
      <c r="A185" s="3"/>
      <c r="B185" s="7" t="s">
        <v>1057</v>
      </c>
      <c r="D185" s="22"/>
      <c r="E185" s="22"/>
      <c r="F185" s="22"/>
      <c r="G185" s="22"/>
      <c r="H185" s="22"/>
      <c r="I185" s="22"/>
      <c r="J185" s="22"/>
      <c r="K185" s="22"/>
      <c r="L185" s="22"/>
      <c r="M185" s="22"/>
      <c r="N185" s="22"/>
      <c r="O185" s="22"/>
      <c r="P185" s="22"/>
      <c r="Q185" s="22"/>
      <c r="R185" s="22"/>
      <c r="S185" s="22"/>
      <c r="T185" s="153"/>
      <c r="U185" s="3"/>
      <c r="V185" s="3"/>
      <c r="W185" s="811"/>
      <c r="X185" s="3"/>
      <c r="Y185" s="3"/>
      <c r="Z185" s="153"/>
      <c r="AA185" s="22"/>
      <c r="AB185" s="3"/>
      <c r="AC185" s="3"/>
      <c r="AD185" s="3"/>
      <c r="AE185" s="3"/>
      <c r="AF185" s="3"/>
      <c r="AG185" s="3"/>
      <c r="AH185" s="3"/>
      <c r="AI185" s="3"/>
    </row>
    <row r="186" spans="1:35" s="287" customFormat="1" x14ac:dyDescent="0.25">
      <c r="A186" s="3"/>
      <c r="B186" s="7" t="s">
        <v>1030</v>
      </c>
      <c r="D186" s="22"/>
      <c r="E186" s="22"/>
      <c r="F186" s="22"/>
      <c r="G186" s="22"/>
      <c r="H186" s="22"/>
      <c r="I186" s="22"/>
      <c r="J186" s="22"/>
      <c r="K186" s="22"/>
      <c r="L186" s="22"/>
      <c r="M186" s="22"/>
      <c r="N186" s="22"/>
      <c r="O186" s="22"/>
      <c r="P186" s="22"/>
      <c r="Q186" s="22"/>
      <c r="R186" s="22"/>
      <c r="S186" s="22"/>
      <c r="T186" s="153"/>
      <c r="U186" s="3"/>
      <c r="V186" s="3"/>
      <c r="W186" s="811"/>
      <c r="X186" s="3"/>
      <c r="Y186" s="3"/>
      <c r="Z186" s="153"/>
      <c r="AA186" s="150">
        <v>3534009</v>
      </c>
      <c r="AB186" s="661">
        <v>63886</v>
      </c>
      <c r="AC186" s="3">
        <v>504671</v>
      </c>
      <c r="AD186" s="3">
        <v>129371</v>
      </c>
      <c r="AE186" s="3">
        <v>3272489</v>
      </c>
      <c r="AF186" s="3">
        <v>3272489</v>
      </c>
      <c r="AG186" s="3">
        <v>11735247</v>
      </c>
      <c r="AH186" s="3"/>
      <c r="AI186" s="450">
        <v>1.0999999999999999E-2</v>
      </c>
    </row>
    <row r="187" spans="1:35" s="287" customFormat="1" x14ac:dyDescent="0.25">
      <c r="A187" s="3"/>
      <c r="B187" s="7" t="s">
        <v>1031</v>
      </c>
      <c r="D187" s="22"/>
      <c r="E187" s="22"/>
      <c r="F187" s="22"/>
      <c r="G187" s="22"/>
      <c r="H187" s="22"/>
      <c r="I187" s="22"/>
      <c r="J187" s="22"/>
      <c r="K187" s="22"/>
      <c r="L187" s="22"/>
      <c r="M187" s="22"/>
      <c r="N187" s="22"/>
      <c r="O187" s="22"/>
      <c r="P187" s="22"/>
      <c r="Q187" s="22"/>
      <c r="R187" s="22"/>
      <c r="S187" s="22"/>
      <c r="T187" s="153"/>
      <c r="U187" s="3"/>
      <c r="V187" s="3"/>
      <c r="W187" s="811"/>
      <c r="X187" s="3"/>
      <c r="Y187" s="3"/>
      <c r="Z187" s="153"/>
      <c r="AA187" s="150">
        <v>5482870</v>
      </c>
      <c r="AB187" s="751">
        <v>87196</v>
      </c>
      <c r="AC187" s="3">
        <v>1261823</v>
      </c>
      <c r="AD187" s="3">
        <v>1175811</v>
      </c>
      <c r="AE187" s="3">
        <v>6331958</v>
      </c>
      <c r="AF187" s="3">
        <v>3845428</v>
      </c>
      <c r="AG187" s="3">
        <v>18185086</v>
      </c>
      <c r="AH187" s="450">
        <v>9.1999999999999998E-2</v>
      </c>
      <c r="AI187" s="450">
        <v>6.5000000000000002E-2</v>
      </c>
    </row>
    <row r="188" spans="1:35" s="287" customFormat="1" x14ac:dyDescent="0.25">
      <c r="A188" s="3"/>
      <c r="B188" s="7" t="s">
        <v>1053</v>
      </c>
      <c r="D188" s="22"/>
      <c r="E188" s="22"/>
      <c r="F188" s="22"/>
      <c r="G188" s="22"/>
      <c r="H188" s="22"/>
      <c r="I188" s="22"/>
      <c r="J188" s="22"/>
      <c r="K188" s="22"/>
      <c r="L188" s="22"/>
      <c r="M188" s="22"/>
      <c r="N188" s="22"/>
      <c r="O188" s="22"/>
      <c r="P188" s="22"/>
      <c r="Q188" s="22"/>
      <c r="R188" s="22"/>
      <c r="S188" s="22"/>
      <c r="T188" s="153"/>
      <c r="U188" s="3"/>
      <c r="V188" s="3"/>
      <c r="W188" s="811"/>
      <c r="X188" s="3"/>
      <c r="Y188" s="3"/>
      <c r="Z188" s="153"/>
      <c r="AA188" s="3"/>
      <c r="AB188" s="747"/>
      <c r="AC188" s="3"/>
      <c r="AD188" s="3"/>
      <c r="AE188" s="3"/>
      <c r="AF188" s="3"/>
      <c r="AG188" s="3"/>
      <c r="AH188" s="3"/>
      <c r="AI188" s="3"/>
    </row>
    <row r="189" spans="1:35" s="287" customFormat="1" x14ac:dyDescent="0.25">
      <c r="A189" s="3"/>
      <c r="B189" s="7" t="s">
        <v>1030</v>
      </c>
      <c r="D189" s="22"/>
      <c r="E189" s="22"/>
      <c r="F189" s="22"/>
      <c r="G189" s="22"/>
      <c r="H189" s="22"/>
      <c r="I189" s="22"/>
      <c r="J189" s="22"/>
      <c r="K189" s="22"/>
      <c r="L189" s="22"/>
      <c r="M189" s="22"/>
      <c r="N189" s="22"/>
      <c r="O189" s="22"/>
      <c r="P189" s="22"/>
      <c r="Q189" s="22"/>
      <c r="R189" s="22"/>
      <c r="S189" s="22"/>
      <c r="T189" s="153"/>
      <c r="U189" s="3"/>
      <c r="V189" s="3"/>
      <c r="W189" s="811"/>
      <c r="X189" s="3"/>
      <c r="Y189" s="3"/>
      <c r="Z189" s="153"/>
      <c r="AA189" s="150">
        <v>3979894</v>
      </c>
      <c r="AB189" s="751">
        <v>67771</v>
      </c>
      <c r="AC189" s="3">
        <v>1677713</v>
      </c>
      <c r="AD189" s="3">
        <v>1223314</v>
      </c>
      <c r="AE189" s="3">
        <v>4757647</v>
      </c>
      <c r="AF189" s="3">
        <v>4757647</v>
      </c>
      <c r="AG189" s="3">
        <v>13413021</v>
      </c>
      <c r="AH189" s="3"/>
      <c r="AI189" s="450">
        <v>9.1200000000000003E-2</v>
      </c>
    </row>
    <row r="190" spans="1:35" s="287" customFormat="1" x14ac:dyDescent="0.25">
      <c r="A190" s="3"/>
      <c r="B190" s="7" t="s">
        <v>1031</v>
      </c>
      <c r="D190" s="22"/>
      <c r="E190" s="22"/>
      <c r="F190" s="22"/>
      <c r="G190" s="22"/>
      <c r="H190" s="22"/>
      <c r="I190" s="22"/>
      <c r="J190" s="22"/>
      <c r="K190" s="22"/>
      <c r="L190" s="22"/>
      <c r="M190" s="22"/>
      <c r="N190" s="22"/>
      <c r="O190" s="22"/>
      <c r="P190" s="22"/>
      <c r="Q190" s="22"/>
      <c r="R190" s="22"/>
      <c r="S190" s="22"/>
      <c r="T190" s="153"/>
      <c r="U190" s="3"/>
      <c r="V190" s="3"/>
      <c r="W190" s="811"/>
      <c r="X190" s="3"/>
      <c r="Y190" s="3"/>
      <c r="Z190" s="153"/>
      <c r="AA190" s="150">
        <v>5074158</v>
      </c>
      <c r="AB190" s="751">
        <v>84812</v>
      </c>
      <c r="AC190" s="3">
        <v>1211729</v>
      </c>
      <c r="AD190" s="3">
        <v>1230742</v>
      </c>
      <c r="AE190" s="3">
        <v>8191636</v>
      </c>
      <c r="AF190" s="3">
        <v>2551403</v>
      </c>
      <c r="AG190" s="3">
        <v>18344479</v>
      </c>
      <c r="AH190" s="450">
        <v>6.5000000000000002E-2</v>
      </c>
      <c r="AI190" s="450">
        <v>6.7000000000000004E-2</v>
      </c>
    </row>
    <row r="191" spans="1:35" s="194" customFormat="1" x14ac:dyDescent="0.25">
      <c r="A191" s="16"/>
      <c r="B191" s="4" t="s">
        <v>1060</v>
      </c>
      <c r="D191" s="22"/>
      <c r="E191" s="22"/>
      <c r="F191" s="22"/>
      <c r="G191" s="22"/>
      <c r="H191" s="22"/>
      <c r="I191" s="22"/>
      <c r="J191" s="22"/>
      <c r="K191" s="22"/>
      <c r="L191" s="22"/>
      <c r="M191" s="22"/>
      <c r="N191" s="22"/>
      <c r="O191" s="22"/>
      <c r="P191" s="22"/>
      <c r="Q191" s="22"/>
      <c r="R191" s="22"/>
      <c r="S191" s="22"/>
      <c r="T191" s="800"/>
      <c r="U191" s="16"/>
      <c r="V191" s="16"/>
      <c r="W191" s="812"/>
      <c r="X191" s="16"/>
      <c r="Y191" s="16"/>
      <c r="Z191" s="800"/>
      <c r="AA191" s="16"/>
      <c r="AB191" s="752"/>
      <c r="AC191" s="16"/>
      <c r="AD191" s="16"/>
      <c r="AE191" s="16"/>
      <c r="AF191" s="16"/>
      <c r="AG191" s="16"/>
      <c r="AH191" s="16"/>
      <c r="AI191" s="16"/>
    </row>
    <row r="192" spans="1:35" s="287" customFormat="1" x14ac:dyDescent="0.25">
      <c r="A192" s="3"/>
      <c r="B192" s="7" t="s">
        <v>1030</v>
      </c>
      <c r="D192" s="22"/>
      <c r="E192" s="22"/>
      <c r="F192" s="22"/>
      <c r="G192" s="22"/>
      <c r="H192" s="22"/>
      <c r="I192" s="22"/>
      <c r="J192" s="22"/>
      <c r="K192" s="22"/>
      <c r="L192" s="22"/>
      <c r="M192" s="22"/>
      <c r="N192" s="22"/>
      <c r="O192" s="22"/>
      <c r="P192" s="22"/>
      <c r="Q192" s="22"/>
      <c r="R192" s="22"/>
      <c r="S192" s="22"/>
      <c r="T192" s="153"/>
      <c r="U192" s="3"/>
      <c r="V192" s="3"/>
      <c r="W192" s="811"/>
      <c r="X192" s="3"/>
      <c r="Y192" s="3"/>
      <c r="Z192" s="153"/>
      <c r="AA192" s="150">
        <v>1478388</v>
      </c>
      <c r="AB192" s="751">
        <v>47617</v>
      </c>
      <c r="AC192" s="3">
        <v>202620</v>
      </c>
      <c r="AD192" s="3">
        <v>440463</v>
      </c>
      <c r="AE192" s="3">
        <v>1087068</v>
      </c>
      <c r="AF192" s="3">
        <v>1087068</v>
      </c>
      <c r="AG192" s="3">
        <v>4386143</v>
      </c>
      <c r="AH192" s="3"/>
      <c r="AI192" s="806">
        <v>0.1</v>
      </c>
    </row>
    <row r="193" spans="1:35" s="287" customFormat="1" x14ac:dyDescent="0.25">
      <c r="A193" s="3"/>
      <c r="B193" s="7" t="s">
        <v>1031</v>
      </c>
      <c r="D193" s="22"/>
      <c r="E193" s="22"/>
      <c r="F193" s="22"/>
      <c r="G193" s="22"/>
      <c r="H193" s="22"/>
      <c r="I193" s="22"/>
      <c r="J193" s="22"/>
      <c r="K193" s="22"/>
      <c r="L193" s="22"/>
      <c r="M193" s="22"/>
      <c r="N193" s="22"/>
      <c r="O193" s="22"/>
      <c r="P193" s="22"/>
      <c r="Q193" s="22"/>
      <c r="R193" s="22"/>
      <c r="S193" s="22"/>
      <c r="T193" s="153"/>
      <c r="U193" s="3"/>
      <c r="V193" s="3"/>
      <c r="W193" s="811"/>
      <c r="X193" s="3"/>
      <c r="Y193" s="3"/>
      <c r="Z193" s="153"/>
      <c r="AA193" s="150">
        <v>1586866</v>
      </c>
      <c r="AB193" s="751">
        <v>50065</v>
      </c>
      <c r="AC193" s="3">
        <v>4180871</v>
      </c>
      <c r="AD193" s="3">
        <v>441237</v>
      </c>
      <c r="AE193" s="3">
        <v>2028431</v>
      </c>
      <c r="AF193" s="3">
        <v>1514579</v>
      </c>
      <c r="AG193" s="3">
        <v>5802049</v>
      </c>
      <c r="AH193" s="450">
        <v>5.8000000000000003E-2</v>
      </c>
      <c r="AI193" s="450">
        <v>7.5999999999999998E-2</v>
      </c>
    </row>
    <row r="194" spans="1:35" s="194" customFormat="1" x14ac:dyDescent="0.25">
      <c r="A194" s="16"/>
      <c r="B194" s="4" t="s">
        <v>1010</v>
      </c>
      <c r="D194" s="22"/>
      <c r="E194" s="22"/>
      <c r="F194" s="22"/>
      <c r="G194" s="22"/>
      <c r="H194" s="22"/>
      <c r="I194" s="22"/>
      <c r="J194" s="22"/>
      <c r="K194" s="22"/>
      <c r="L194" s="22"/>
      <c r="M194" s="22"/>
      <c r="N194" s="22"/>
      <c r="O194" s="22"/>
      <c r="P194" s="22"/>
      <c r="Q194" s="22"/>
      <c r="R194" s="22"/>
      <c r="S194" s="22"/>
      <c r="T194" s="800"/>
      <c r="U194" s="16"/>
      <c r="V194" s="16"/>
      <c r="W194" s="812"/>
      <c r="X194" s="16"/>
      <c r="Y194" s="16"/>
      <c r="Z194" s="800"/>
      <c r="AA194" s="16"/>
      <c r="AB194" s="751"/>
      <c r="AC194" s="16"/>
      <c r="AD194" s="16"/>
      <c r="AE194" s="16"/>
      <c r="AF194" s="16"/>
      <c r="AG194" s="16"/>
      <c r="AH194" s="16"/>
      <c r="AI194" s="16"/>
    </row>
    <row r="195" spans="1:35" s="287" customFormat="1" x14ac:dyDescent="0.25">
      <c r="A195" s="3"/>
      <c r="B195" s="7" t="s">
        <v>1030</v>
      </c>
      <c r="D195" s="22"/>
      <c r="E195" s="22"/>
      <c r="F195" s="22"/>
      <c r="G195" s="22"/>
      <c r="H195" s="22"/>
      <c r="I195" s="22"/>
      <c r="J195" s="22"/>
      <c r="K195" s="22"/>
      <c r="L195" s="22"/>
      <c r="M195" s="22"/>
      <c r="N195" s="22"/>
      <c r="O195" s="22"/>
      <c r="P195" s="22"/>
      <c r="Q195" s="22"/>
      <c r="R195" s="22"/>
      <c r="S195" s="22"/>
      <c r="T195" s="153"/>
      <c r="U195" s="3"/>
      <c r="V195" s="3"/>
      <c r="W195" s="811"/>
      <c r="X195" s="3"/>
      <c r="Y195" s="3"/>
      <c r="Z195" s="153"/>
      <c r="AA195" s="150">
        <v>680617</v>
      </c>
      <c r="AB195" s="751">
        <v>23822</v>
      </c>
      <c r="AC195" s="3">
        <v>213414</v>
      </c>
      <c r="AD195" s="3">
        <v>156285</v>
      </c>
      <c r="AE195" s="3">
        <v>708828</v>
      </c>
      <c r="AF195" s="3">
        <v>708828</v>
      </c>
      <c r="AG195" s="3">
        <v>2101137</v>
      </c>
      <c r="AH195" s="3"/>
      <c r="AI195" s="450">
        <v>7.3999999999999996E-2</v>
      </c>
    </row>
    <row r="196" spans="1:35" s="287" customFormat="1" x14ac:dyDescent="0.25">
      <c r="A196" s="3"/>
      <c r="B196" s="7" t="s">
        <v>1031</v>
      </c>
      <c r="D196" s="22"/>
      <c r="E196" s="22"/>
      <c r="F196" s="22"/>
      <c r="G196" s="22"/>
      <c r="H196" s="22"/>
      <c r="I196" s="22"/>
      <c r="J196" s="22"/>
      <c r="K196" s="22"/>
      <c r="L196" s="22"/>
      <c r="M196" s="22"/>
      <c r="N196" s="22"/>
      <c r="O196" s="22"/>
      <c r="P196" s="22"/>
      <c r="Q196" s="22"/>
      <c r="R196" s="22"/>
      <c r="S196" s="22"/>
      <c r="T196" s="153"/>
      <c r="U196" s="3"/>
      <c r="V196" s="3"/>
      <c r="W196" s="811"/>
      <c r="X196" s="3"/>
      <c r="Y196" s="3"/>
      <c r="Z196" s="153"/>
      <c r="AA196" s="150">
        <v>995955</v>
      </c>
      <c r="AB196" s="751">
        <v>42438</v>
      </c>
      <c r="AC196" s="3">
        <v>535646</v>
      </c>
      <c r="AD196" s="3">
        <v>238723</v>
      </c>
      <c r="AE196" s="3">
        <v>1339679</v>
      </c>
      <c r="AF196" s="3">
        <v>679835</v>
      </c>
      <c r="AG196" s="3">
        <v>3832277</v>
      </c>
      <c r="AH196" s="450">
        <v>0.128</v>
      </c>
      <c r="AI196" s="450">
        <v>6.2E-2</v>
      </c>
    </row>
    <row r="197" spans="1:35" s="194" customFormat="1" x14ac:dyDescent="0.25">
      <c r="A197" s="16"/>
      <c r="B197" s="4" t="s">
        <v>1061</v>
      </c>
      <c r="D197" s="22"/>
      <c r="E197" s="22"/>
      <c r="F197" s="22"/>
      <c r="G197" s="22"/>
      <c r="H197" s="22"/>
      <c r="I197" s="22"/>
      <c r="J197" s="22"/>
      <c r="K197" s="22"/>
      <c r="L197" s="22"/>
      <c r="M197" s="22"/>
      <c r="N197" s="22"/>
      <c r="O197" s="22"/>
      <c r="P197" s="22"/>
      <c r="Q197" s="22"/>
      <c r="R197" s="22"/>
      <c r="S197" s="22"/>
      <c r="T197" s="800"/>
      <c r="U197" s="16"/>
      <c r="V197" s="16"/>
      <c r="W197" s="812"/>
      <c r="X197" s="16"/>
      <c r="Y197" s="16"/>
      <c r="Z197" s="800"/>
      <c r="AA197" s="16"/>
      <c r="AB197" s="751"/>
      <c r="AC197" s="16"/>
      <c r="AD197" s="16"/>
      <c r="AE197" s="16"/>
      <c r="AF197" s="16"/>
      <c r="AG197" s="16"/>
      <c r="AH197" s="16"/>
      <c r="AI197" s="16"/>
    </row>
    <row r="198" spans="1:35" s="287" customFormat="1" x14ac:dyDescent="0.25">
      <c r="A198" s="3"/>
      <c r="B198" s="7" t="s">
        <v>1030</v>
      </c>
      <c r="D198" s="22"/>
      <c r="E198" s="22"/>
      <c r="F198" s="22"/>
      <c r="G198" s="22"/>
      <c r="H198" s="22"/>
      <c r="I198" s="22"/>
      <c r="J198" s="22"/>
      <c r="K198" s="22"/>
      <c r="L198" s="22"/>
      <c r="M198" s="22"/>
      <c r="N198" s="22"/>
      <c r="O198" s="22"/>
      <c r="P198" s="22"/>
      <c r="Q198" s="22"/>
      <c r="R198" s="22"/>
      <c r="S198" s="22"/>
      <c r="T198" s="153"/>
      <c r="U198" s="3"/>
      <c r="V198" s="3"/>
      <c r="W198" s="811"/>
      <c r="X198" s="3"/>
      <c r="Y198" s="3"/>
      <c r="Z198" s="153"/>
      <c r="AA198" s="150">
        <v>772764</v>
      </c>
      <c r="AB198" s="751">
        <v>22344</v>
      </c>
      <c r="AC198" s="3">
        <v>159406</v>
      </c>
      <c r="AD198" s="3">
        <v>134805</v>
      </c>
      <c r="AE198" s="3">
        <v>538722</v>
      </c>
      <c r="AF198" s="3">
        <v>538722</v>
      </c>
      <c r="AG198" s="3">
        <v>2252013</v>
      </c>
      <c r="AH198" s="3"/>
      <c r="AI198" s="806">
        <v>0.06</v>
      </c>
    </row>
    <row r="199" spans="1:35" s="287" customFormat="1" x14ac:dyDescent="0.25">
      <c r="A199" s="3"/>
      <c r="B199" s="7" t="s">
        <v>1031</v>
      </c>
      <c r="D199" s="22"/>
      <c r="E199" s="22"/>
      <c r="F199" s="22"/>
      <c r="G199" s="22"/>
      <c r="H199" s="22"/>
      <c r="I199" s="22"/>
      <c r="J199" s="22"/>
      <c r="K199" s="22"/>
      <c r="L199" s="22"/>
      <c r="M199" s="22"/>
      <c r="N199" s="22"/>
      <c r="O199" s="22"/>
      <c r="P199" s="22"/>
      <c r="Q199" s="22"/>
      <c r="R199" s="22"/>
      <c r="S199" s="22"/>
      <c r="T199" s="153"/>
      <c r="U199" s="3"/>
      <c r="V199" s="3"/>
      <c r="W199" s="811"/>
      <c r="X199" s="3"/>
      <c r="Y199" s="3"/>
      <c r="Z199" s="153"/>
      <c r="AA199" s="150">
        <v>1017338</v>
      </c>
      <c r="AB199" s="751">
        <v>40776</v>
      </c>
      <c r="AC199" s="3">
        <v>217126</v>
      </c>
      <c r="AD199" s="3">
        <v>257370</v>
      </c>
      <c r="AE199" s="3">
        <v>1000418</v>
      </c>
      <c r="AF199" s="3">
        <v>906669</v>
      </c>
      <c r="AG199" s="3">
        <v>3439697</v>
      </c>
      <c r="AH199" s="450">
        <v>8.7999999999999995E-2</v>
      </c>
      <c r="AI199" s="450">
        <v>7.4999999999999997E-2</v>
      </c>
    </row>
    <row r="200" spans="1:35" s="194" customFormat="1" x14ac:dyDescent="0.25">
      <c r="A200" s="16"/>
      <c r="B200" s="17" t="s">
        <v>799</v>
      </c>
      <c r="D200" s="22"/>
      <c r="E200" s="22"/>
      <c r="F200" s="22"/>
      <c r="G200" s="22"/>
      <c r="H200" s="22"/>
      <c r="I200" s="22"/>
      <c r="J200" s="22"/>
      <c r="K200" s="22"/>
      <c r="L200" s="22"/>
      <c r="M200" s="22"/>
      <c r="N200" s="22"/>
      <c r="O200" s="22"/>
      <c r="P200" s="22"/>
      <c r="Q200" s="22"/>
      <c r="R200" s="22"/>
      <c r="S200" s="22"/>
      <c r="T200" s="800"/>
      <c r="U200" s="16"/>
      <c r="V200" s="16"/>
      <c r="W200" s="812"/>
      <c r="X200" s="16"/>
      <c r="Y200" s="16"/>
      <c r="Z200" s="800"/>
      <c r="AA200" s="16"/>
      <c r="AB200" s="747"/>
      <c r="AC200" s="16"/>
      <c r="AD200" s="16"/>
      <c r="AE200" s="16"/>
      <c r="AF200" s="16"/>
      <c r="AG200" s="16"/>
      <c r="AH200" s="16"/>
      <c r="AI200" s="16"/>
    </row>
    <row r="201" spans="1:35" s="287" customFormat="1" x14ac:dyDescent="0.25">
      <c r="A201" s="3"/>
      <c r="B201" s="7" t="s">
        <v>1030</v>
      </c>
      <c r="D201" s="22"/>
      <c r="E201" s="22"/>
      <c r="F201" s="22"/>
      <c r="G201" s="22"/>
      <c r="H201" s="22"/>
      <c r="I201" s="22"/>
      <c r="J201" s="22"/>
      <c r="K201" s="22"/>
      <c r="L201" s="22"/>
      <c r="M201" s="22"/>
      <c r="N201" s="22"/>
      <c r="O201" s="22"/>
      <c r="P201" s="22"/>
      <c r="Q201" s="22"/>
      <c r="R201" s="22"/>
      <c r="S201" s="22"/>
      <c r="T201" s="153"/>
      <c r="U201" s="3"/>
      <c r="V201" s="3"/>
      <c r="W201" s="811"/>
      <c r="X201" s="3"/>
      <c r="Y201" s="3"/>
      <c r="Z201" s="153"/>
      <c r="AA201" s="150">
        <v>672205</v>
      </c>
      <c r="AB201" s="751">
        <v>22120</v>
      </c>
      <c r="AC201" s="3">
        <v>11542</v>
      </c>
      <c r="AD201" s="3">
        <v>89951</v>
      </c>
      <c r="AE201" s="3">
        <v>734965</v>
      </c>
      <c r="AF201" s="3">
        <v>734965</v>
      </c>
      <c r="AG201" s="3">
        <v>2230635</v>
      </c>
      <c r="AH201" s="3"/>
      <c r="AI201" s="806">
        <v>0.04</v>
      </c>
    </row>
    <row r="202" spans="1:35" s="287" customFormat="1" x14ac:dyDescent="0.25">
      <c r="A202" s="3"/>
      <c r="B202" s="7" t="s">
        <v>1031</v>
      </c>
      <c r="D202" s="22"/>
      <c r="E202" s="22"/>
      <c r="F202" s="22"/>
      <c r="G202" s="22"/>
      <c r="H202" s="22"/>
      <c r="I202" s="22"/>
      <c r="J202" s="22"/>
      <c r="K202" s="22"/>
      <c r="L202" s="22"/>
      <c r="M202" s="22"/>
      <c r="N202" s="22"/>
      <c r="O202" s="22"/>
      <c r="P202" s="22"/>
      <c r="Q202" s="22"/>
      <c r="R202" s="22"/>
      <c r="S202" s="22"/>
      <c r="T202" s="153"/>
      <c r="U202" s="3"/>
      <c r="V202" s="3"/>
      <c r="W202" s="811"/>
      <c r="X202" s="3"/>
      <c r="Y202" s="3"/>
      <c r="Z202" s="153"/>
      <c r="AA202" s="150">
        <v>671160</v>
      </c>
      <c r="AB202" s="751">
        <v>33423</v>
      </c>
      <c r="AC202" s="3">
        <v>101513</v>
      </c>
      <c r="AD202" s="3">
        <v>125425</v>
      </c>
      <c r="AE202" s="3">
        <v>1309371</v>
      </c>
      <c r="AF202" s="3">
        <v>532759</v>
      </c>
      <c r="AG202" s="3">
        <v>2773650</v>
      </c>
      <c r="AH202" s="3"/>
      <c r="AI202" s="450">
        <v>4.4999999999999998E-2</v>
      </c>
    </row>
    <row r="203" spans="1:35" s="287" customFormat="1" x14ac:dyDescent="0.25">
      <c r="A203" s="3"/>
      <c r="D203" s="22"/>
      <c r="E203" s="22"/>
      <c r="F203" s="22"/>
      <c r="G203" s="22"/>
      <c r="H203" s="22"/>
      <c r="I203" s="22"/>
      <c r="J203" s="22"/>
      <c r="K203" s="22"/>
      <c r="L203" s="22"/>
      <c r="M203" s="22"/>
      <c r="N203" s="22"/>
      <c r="O203" s="22"/>
      <c r="P203" s="22"/>
      <c r="Q203" s="22"/>
      <c r="R203" s="22"/>
      <c r="S203" s="22"/>
      <c r="T203" s="153"/>
      <c r="U203" s="3"/>
      <c r="V203" s="3"/>
      <c r="W203" s="811"/>
      <c r="X203" s="3"/>
      <c r="Y203" s="3"/>
      <c r="Z203" s="153"/>
      <c r="AA203" s="747"/>
    </row>
    <row r="204" spans="1:35" s="287" customFormat="1" ht="79.5" customHeight="1" x14ac:dyDescent="0.25">
      <c r="A204" s="3"/>
      <c r="B204" s="17" t="s">
        <v>1037</v>
      </c>
      <c r="C204" s="813" t="s">
        <v>1105</v>
      </c>
      <c r="D204" s="22"/>
      <c r="E204" s="22"/>
      <c r="F204" s="22"/>
      <c r="G204" s="22"/>
      <c r="H204" s="22"/>
      <c r="I204" s="3" t="s">
        <v>1042</v>
      </c>
      <c r="J204" s="22"/>
      <c r="K204" s="22"/>
      <c r="L204" s="22"/>
      <c r="M204" s="22"/>
      <c r="N204" s="22"/>
      <c r="O204" s="22"/>
      <c r="P204" s="22"/>
      <c r="Q204" s="22"/>
      <c r="R204" s="22"/>
      <c r="S204" s="22"/>
      <c r="T204" s="153"/>
      <c r="U204" s="3"/>
      <c r="V204" s="3"/>
      <c r="W204" s="811"/>
      <c r="X204" s="3"/>
      <c r="Y204" s="3"/>
      <c r="Z204" s="7"/>
      <c r="AA204" s="802" t="s">
        <v>1038</v>
      </c>
      <c r="AB204" s="803" t="s">
        <v>1039</v>
      </c>
      <c r="AC204" s="738" t="s">
        <v>1040</v>
      </c>
      <c r="AD204" s="804" t="s">
        <v>1041</v>
      </c>
    </row>
    <row r="205" spans="1:35" s="287" customFormat="1" x14ac:dyDescent="0.25">
      <c r="A205" s="3"/>
      <c r="B205" s="17" t="s">
        <v>1056</v>
      </c>
      <c r="D205" s="22"/>
      <c r="E205" s="22"/>
      <c r="F205" s="22"/>
      <c r="G205" s="22"/>
      <c r="H205" s="22"/>
      <c r="I205" s="22"/>
      <c r="J205" s="22"/>
      <c r="K205" s="22"/>
      <c r="L205" s="22"/>
      <c r="M205" s="22"/>
      <c r="N205" s="22"/>
      <c r="O205" s="22"/>
      <c r="P205" s="22"/>
      <c r="Q205" s="22"/>
      <c r="R205" s="22"/>
      <c r="S205" s="22"/>
      <c r="T205" s="153"/>
      <c r="U205" s="3"/>
      <c r="V205" s="3"/>
      <c r="W205" s="811"/>
      <c r="X205" s="3"/>
      <c r="Y205" s="3"/>
      <c r="Z205" s="153"/>
      <c r="AA205" s="150">
        <v>1134</v>
      </c>
      <c r="AB205" s="150">
        <v>6742</v>
      </c>
      <c r="AC205" s="733">
        <v>0.16800000000000001</v>
      </c>
      <c r="AD205" s="733">
        <v>-1.2800000000000001E-2</v>
      </c>
    </row>
    <row r="206" spans="1:35" s="287" customFormat="1" x14ac:dyDescent="0.25">
      <c r="A206" s="3"/>
      <c r="B206" s="17" t="s">
        <v>799</v>
      </c>
      <c r="D206" s="22"/>
      <c r="E206" s="22"/>
      <c r="F206" s="22"/>
      <c r="G206" s="22"/>
      <c r="H206" s="22"/>
      <c r="I206" s="22"/>
      <c r="J206" s="22"/>
      <c r="K206" s="22"/>
      <c r="L206" s="22"/>
      <c r="M206" s="22"/>
      <c r="N206" s="22"/>
      <c r="O206" s="22"/>
      <c r="P206" s="22"/>
      <c r="Q206" s="22"/>
      <c r="R206" s="22"/>
      <c r="S206" s="22"/>
      <c r="T206" s="153"/>
      <c r="U206" s="3"/>
      <c r="V206" s="3"/>
      <c r="W206" s="811"/>
      <c r="X206" s="3"/>
      <c r="Y206" s="3"/>
      <c r="Z206" s="153"/>
      <c r="AA206" s="3">
        <v>1409</v>
      </c>
      <c r="AB206" s="150">
        <v>6742</v>
      </c>
      <c r="AC206" s="748">
        <v>0.20899999999999999</v>
      </c>
      <c r="AD206" s="450">
        <v>-1.8800000000000001E-2</v>
      </c>
    </row>
    <row r="207" spans="1:35" s="287" customFormat="1" x14ac:dyDescent="0.25">
      <c r="A207" s="3"/>
      <c r="B207" s="17" t="s">
        <v>1055</v>
      </c>
      <c r="D207" s="22"/>
      <c r="E207" s="22"/>
      <c r="F207" s="22"/>
      <c r="G207" s="22"/>
      <c r="H207" s="22"/>
      <c r="I207" s="22"/>
      <c r="J207" s="22"/>
      <c r="K207" s="22"/>
      <c r="L207" s="22"/>
      <c r="M207" s="22"/>
      <c r="N207" s="22"/>
      <c r="O207" s="22"/>
      <c r="P207" s="22"/>
      <c r="Q207" s="22"/>
      <c r="R207" s="22"/>
      <c r="S207" s="22"/>
      <c r="T207" s="153"/>
      <c r="U207" s="3"/>
      <c r="V207" s="3"/>
      <c r="W207" s="811"/>
      <c r="X207" s="3"/>
      <c r="Y207" s="3"/>
      <c r="Z207" s="153"/>
      <c r="AA207" s="3">
        <v>1167</v>
      </c>
      <c r="AB207" s="3">
        <v>6742</v>
      </c>
      <c r="AC207" s="450">
        <v>0.17299999999999999</v>
      </c>
      <c r="AD207" s="450">
        <v>9.2999999999999992E-3</v>
      </c>
    </row>
    <row r="208" spans="1:35" s="287" customFormat="1" x14ac:dyDescent="0.25">
      <c r="A208" s="3"/>
      <c r="B208" s="17" t="s">
        <v>1057</v>
      </c>
      <c r="D208" s="22"/>
      <c r="E208" s="22"/>
      <c r="F208" s="22"/>
      <c r="G208" s="22"/>
      <c r="H208" s="22"/>
      <c r="I208" s="22"/>
      <c r="J208" s="22"/>
      <c r="K208" s="22"/>
      <c r="L208" s="22"/>
      <c r="M208" s="22"/>
      <c r="N208" s="22"/>
      <c r="O208" s="22"/>
      <c r="P208" s="22"/>
      <c r="Q208" s="22"/>
      <c r="R208" s="22"/>
      <c r="S208" s="22"/>
      <c r="T208" s="153"/>
      <c r="U208" s="3"/>
      <c r="V208" s="3"/>
      <c r="W208" s="811"/>
      <c r="X208" s="3"/>
      <c r="Y208" s="3"/>
      <c r="Z208" s="153"/>
      <c r="AA208" s="3">
        <v>1030</v>
      </c>
      <c r="AB208" s="3">
        <v>6742</v>
      </c>
      <c r="AC208" s="450">
        <v>0.153</v>
      </c>
      <c r="AD208" s="450">
        <v>-2.18E-2</v>
      </c>
    </row>
    <row r="209" spans="1:30" s="287" customFormat="1" x14ac:dyDescent="0.25">
      <c r="A209" s="3"/>
      <c r="B209" s="17" t="s">
        <v>1054</v>
      </c>
      <c r="D209" s="22"/>
      <c r="E209" s="22"/>
      <c r="F209" s="22"/>
      <c r="G209" s="22"/>
      <c r="H209" s="22"/>
      <c r="I209" s="22"/>
      <c r="J209" s="22"/>
      <c r="K209" s="22"/>
      <c r="L209" s="22"/>
      <c r="M209" s="22"/>
      <c r="N209" s="22"/>
      <c r="O209" s="22"/>
      <c r="P209" s="22"/>
      <c r="Q209" s="22"/>
      <c r="R209" s="22"/>
      <c r="S209" s="22"/>
      <c r="T209" s="153"/>
      <c r="U209" s="3"/>
      <c r="V209" s="3"/>
      <c r="W209" s="811"/>
      <c r="X209" s="3"/>
      <c r="Y209" s="3"/>
      <c r="Z209" s="153"/>
      <c r="AA209" s="3">
        <v>913</v>
      </c>
      <c r="AB209" s="3">
        <v>6742</v>
      </c>
      <c r="AC209" s="450">
        <v>0.13500000000000001</v>
      </c>
      <c r="AD209" s="450">
        <v>3.9899999999999998E-2</v>
      </c>
    </row>
    <row r="210" spans="1:30" s="287" customFormat="1" x14ac:dyDescent="0.25">
      <c r="A210" s="3"/>
      <c r="B210" s="17" t="s">
        <v>1058</v>
      </c>
      <c r="D210" s="22"/>
      <c r="E210" s="22"/>
      <c r="F210" s="22"/>
      <c r="G210" s="22"/>
      <c r="H210" s="22"/>
      <c r="I210" s="22"/>
      <c r="J210" s="22"/>
      <c r="K210" s="22"/>
      <c r="L210" s="22"/>
      <c r="M210" s="22"/>
      <c r="N210" s="22"/>
      <c r="O210" s="22"/>
      <c r="P210" s="22"/>
      <c r="Q210" s="22"/>
      <c r="R210" s="22"/>
      <c r="S210" s="22"/>
      <c r="T210" s="153"/>
      <c r="U210" s="3"/>
      <c r="V210" s="3"/>
      <c r="W210" s="811"/>
      <c r="X210" s="3"/>
      <c r="Y210" s="3"/>
      <c r="Z210" s="153"/>
      <c r="AA210" s="3">
        <v>906</v>
      </c>
      <c r="AB210" s="3">
        <v>6742</v>
      </c>
      <c r="AC210" s="450">
        <v>0.13500000000000001</v>
      </c>
      <c r="AD210" s="450">
        <v>3.9899999999999998E-2</v>
      </c>
    </row>
    <row r="211" spans="1:30" s="287" customFormat="1" x14ac:dyDescent="0.25">
      <c r="A211" s="3"/>
      <c r="B211" s="17" t="s">
        <v>1059</v>
      </c>
      <c r="D211" s="22"/>
      <c r="E211" s="22"/>
      <c r="F211" s="22"/>
      <c r="G211" s="22"/>
      <c r="H211" s="22"/>
      <c r="I211" s="22"/>
      <c r="J211" s="22"/>
      <c r="K211" s="22"/>
      <c r="L211" s="22"/>
      <c r="M211" s="22"/>
      <c r="N211" s="22"/>
      <c r="O211" s="22"/>
      <c r="P211" s="22"/>
      <c r="Q211" s="22"/>
      <c r="R211" s="22"/>
      <c r="S211" s="22"/>
      <c r="T211" s="153"/>
      <c r="U211" s="3"/>
      <c r="V211" s="3"/>
      <c r="W211" s="811"/>
      <c r="X211" s="3"/>
      <c r="Y211" s="3"/>
      <c r="Z211" s="153"/>
      <c r="AA211" s="3">
        <v>620</v>
      </c>
      <c r="AB211" s="3">
        <v>6742</v>
      </c>
      <c r="AC211" s="450">
        <v>9.1999999999999998E-2</v>
      </c>
      <c r="AD211" s="450">
        <v>-9.9000000000000008E-3</v>
      </c>
    </row>
    <row r="212" spans="1:30" s="287" customFormat="1" x14ac:dyDescent="0.25">
      <c r="A212" s="3"/>
      <c r="B212" s="17" t="s">
        <v>1010</v>
      </c>
      <c r="D212" s="22"/>
      <c r="E212" s="22"/>
      <c r="F212" s="22"/>
      <c r="G212" s="22"/>
      <c r="H212" s="22"/>
      <c r="I212" s="22"/>
      <c r="J212" s="22"/>
      <c r="K212" s="22"/>
      <c r="L212" s="22"/>
      <c r="M212" s="22"/>
      <c r="N212" s="22"/>
      <c r="O212" s="22"/>
      <c r="P212" s="22"/>
      <c r="Q212" s="22"/>
      <c r="R212" s="22"/>
      <c r="S212" s="22"/>
      <c r="T212" s="153"/>
      <c r="U212" s="3"/>
      <c r="V212" s="3"/>
      <c r="W212" s="811"/>
      <c r="X212" s="3"/>
      <c r="Y212" s="3"/>
      <c r="Z212" s="153"/>
      <c r="AA212" s="3">
        <v>739</v>
      </c>
      <c r="AB212" s="3">
        <v>6742</v>
      </c>
      <c r="AC212" s="450">
        <v>0.11</v>
      </c>
      <c r="AD212" s="450">
        <v>-4.7000000000000002E-3</v>
      </c>
    </row>
    <row r="213" spans="1:30" s="287" customFormat="1" x14ac:dyDescent="0.25">
      <c r="A213" s="3"/>
      <c r="B213" s="17" t="s">
        <v>1064</v>
      </c>
      <c r="D213" s="22"/>
      <c r="E213" s="22"/>
      <c r="F213" s="22"/>
      <c r="G213" s="22"/>
      <c r="H213" s="22"/>
      <c r="I213" s="22"/>
      <c r="J213" s="22"/>
      <c r="K213" s="22"/>
      <c r="L213" s="22"/>
      <c r="M213" s="22"/>
      <c r="N213" s="22"/>
      <c r="O213" s="22"/>
      <c r="P213" s="22"/>
      <c r="Q213" s="22"/>
      <c r="R213" s="22"/>
      <c r="S213" s="22"/>
      <c r="T213" s="153"/>
      <c r="U213" s="3"/>
      <c r="V213" s="3"/>
      <c r="W213" s="811"/>
      <c r="X213" s="3"/>
      <c r="Y213" s="3"/>
      <c r="Z213" s="153"/>
      <c r="AA213" s="3">
        <v>887</v>
      </c>
      <c r="AB213" s="3">
        <v>6742</v>
      </c>
      <c r="AC213" s="450">
        <v>0.13200000000000001</v>
      </c>
      <c r="AD213" s="450">
        <v>-9.4999999999999998E-3</v>
      </c>
    </row>
    <row r="214" spans="1:30" s="287" customFormat="1" x14ac:dyDescent="0.25">
      <c r="A214" s="3"/>
      <c r="B214" s="17"/>
      <c r="D214" s="22"/>
      <c r="E214" s="22"/>
      <c r="F214" s="22"/>
      <c r="G214" s="22"/>
      <c r="H214" s="22"/>
      <c r="I214" s="22"/>
      <c r="J214" s="22"/>
      <c r="K214" s="22"/>
      <c r="L214" s="22"/>
      <c r="M214" s="22"/>
      <c r="N214" s="22"/>
      <c r="O214" s="22"/>
      <c r="P214" s="22"/>
      <c r="Q214" s="22"/>
      <c r="R214" s="22"/>
      <c r="S214" s="22"/>
      <c r="T214" s="153"/>
      <c r="U214" s="3"/>
      <c r="V214" s="3"/>
      <c r="W214" s="811"/>
      <c r="X214" s="3"/>
      <c r="Y214" s="3"/>
      <c r="Z214" s="153"/>
    </row>
    <row r="215" spans="1:30" s="732" customFormat="1" ht="24" customHeight="1" x14ac:dyDescent="0.25">
      <c r="A215" s="7"/>
      <c r="B215" s="7" t="s">
        <v>1096</v>
      </c>
      <c r="C215" s="813" t="s">
        <v>1098</v>
      </c>
      <c r="D215" s="288"/>
      <c r="E215" s="288"/>
      <c r="F215" s="288"/>
      <c r="G215" s="288"/>
      <c r="H215" s="7" t="s">
        <v>384</v>
      </c>
      <c r="I215" s="7" t="s">
        <v>1104</v>
      </c>
      <c r="J215" s="288"/>
      <c r="K215" s="288"/>
      <c r="L215" s="288"/>
      <c r="M215" s="288"/>
      <c r="N215" s="288"/>
      <c r="O215" s="288"/>
      <c r="P215" s="288"/>
      <c r="Q215" s="288"/>
      <c r="R215" s="288"/>
      <c r="S215" s="288"/>
      <c r="T215" s="153"/>
      <c r="U215" s="7"/>
      <c r="V215" s="7"/>
      <c r="W215" s="811"/>
      <c r="X215" s="7"/>
      <c r="Y215" s="7"/>
      <c r="Z215" s="153"/>
      <c r="AA215" s="734">
        <v>2006</v>
      </c>
      <c r="AB215" s="734">
        <v>2011</v>
      </c>
    </row>
    <row r="216" spans="1:30" x14ac:dyDescent="0.25">
      <c r="B216" s="4" t="s">
        <v>1029</v>
      </c>
      <c r="S216" s="3"/>
      <c r="T216" s="153"/>
      <c r="W216" s="811"/>
      <c r="Z216" s="153"/>
      <c r="AA216" s="3">
        <v>1406466</v>
      </c>
      <c r="AB216" s="3">
        <v>1107068</v>
      </c>
    </row>
    <row r="217" spans="1:30" x14ac:dyDescent="0.25">
      <c r="B217" s="17" t="s">
        <v>799</v>
      </c>
      <c r="S217" s="3"/>
      <c r="T217" s="153"/>
      <c r="W217" s="811"/>
      <c r="Z217" s="153"/>
      <c r="AA217" s="3">
        <v>334968</v>
      </c>
      <c r="AB217" s="3">
        <v>176361</v>
      </c>
    </row>
    <row r="218" spans="1:30" x14ac:dyDescent="0.25">
      <c r="B218" s="17" t="s">
        <v>1055</v>
      </c>
      <c r="S218" s="3"/>
      <c r="T218" s="153"/>
      <c r="W218" s="811"/>
      <c r="Z218" s="153"/>
      <c r="AA218" s="3">
        <v>563415</v>
      </c>
      <c r="AB218" s="3">
        <v>218108</v>
      </c>
    </row>
    <row r="219" spans="1:30" x14ac:dyDescent="0.25">
      <c r="B219" s="17" t="s">
        <v>1057</v>
      </c>
      <c r="S219" s="3"/>
      <c r="T219" s="153"/>
      <c r="W219" s="811"/>
      <c r="Z219" s="153"/>
      <c r="AA219" s="3">
        <v>876785</v>
      </c>
      <c r="AB219" s="3">
        <v>736009</v>
      </c>
    </row>
    <row r="220" spans="1:30" x14ac:dyDescent="0.25">
      <c r="B220" s="17" t="s">
        <v>1054</v>
      </c>
      <c r="S220" s="3"/>
      <c r="T220" s="153"/>
      <c r="W220" s="811"/>
      <c r="Z220" s="153"/>
      <c r="AA220" s="3">
        <v>1481116</v>
      </c>
      <c r="AB220" s="3">
        <v>1134144</v>
      </c>
    </row>
    <row r="221" spans="1:30" x14ac:dyDescent="0.25">
      <c r="B221" s="17" t="s">
        <v>1058</v>
      </c>
      <c r="S221" s="3"/>
      <c r="T221" s="153"/>
      <c r="W221" s="811"/>
      <c r="Z221" s="153"/>
      <c r="AA221" s="3">
        <v>1224480</v>
      </c>
      <c r="AB221" s="3">
        <v>990263</v>
      </c>
    </row>
    <row r="222" spans="1:30" x14ac:dyDescent="0.25">
      <c r="B222" s="17" t="s">
        <v>1059</v>
      </c>
      <c r="S222" s="3"/>
      <c r="T222" s="153"/>
      <c r="W222" s="811"/>
      <c r="Z222" s="153"/>
      <c r="AA222" s="3">
        <v>1065357</v>
      </c>
      <c r="AB222" s="3">
        <v>804170</v>
      </c>
    </row>
    <row r="223" spans="1:30" x14ac:dyDescent="0.25">
      <c r="B223" s="17" t="s">
        <v>1010</v>
      </c>
      <c r="S223" s="3"/>
      <c r="T223" s="153"/>
      <c r="W223" s="811"/>
      <c r="Z223" s="153"/>
      <c r="AA223" s="288"/>
      <c r="AB223" s="7">
        <v>204967</v>
      </c>
    </row>
    <row r="224" spans="1:30" x14ac:dyDescent="0.25">
      <c r="B224" s="17" t="s">
        <v>1064</v>
      </c>
      <c r="S224" s="3"/>
      <c r="T224" s="153"/>
      <c r="W224" s="811"/>
      <c r="Z224" s="153"/>
      <c r="AA224" s="7">
        <v>576411</v>
      </c>
      <c r="AB224" s="7">
        <v>369366</v>
      </c>
    </row>
    <row r="225" spans="1:28" x14ac:dyDescent="0.25">
      <c r="B225" s="287"/>
      <c r="S225" s="3"/>
      <c r="T225" s="153"/>
      <c r="W225" s="811"/>
      <c r="Z225" s="153"/>
    </row>
    <row r="226" spans="1:28" s="623" customFormat="1" ht="19.5" customHeight="1" x14ac:dyDescent="0.2">
      <c r="A226" s="7"/>
      <c r="B226" s="7" t="s">
        <v>1095</v>
      </c>
      <c r="C226" s="3" t="s">
        <v>1097</v>
      </c>
      <c r="D226" s="7"/>
      <c r="E226" s="7"/>
      <c r="F226" s="7"/>
      <c r="G226" s="7"/>
      <c r="H226" s="7" t="s">
        <v>384</v>
      </c>
      <c r="I226" s="7" t="s">
        <v>1104</v>
      </c>
      <c r="J226" s="7"/>
      <c r="K226" s="7"/>
      <c r="L226" s="7"/>
      <c r="M226" s="7"/>
      <c r="N226" s="7"/>
      <c r="O226" s="7"/>
      <c r="P226" s="7"/>
      <c r="Q226" s="7"/>
      <c r="R226" s="7"/>
      <c r="S226" s="7"/>
      <c r="T226" s="153"/>
      <c r="U226" s="7"/>
      <c r="V226" s="7"/>
      <c r="W226" s="811"/>
      <c r="X226" s="7"/>
      <c r="Y226" s="7"/>
      <c r="Z226" s="153"/>
      <c r="AA226" s="734">
        <v>2006</v>
      </c>
      <c r="AB226" s="734">
        <v>2011</v>
      </c>
    </row>
    <row r="227" spans="1:28" x14ac:dyDescent="0.25">
      <c r="B227" s="4" t="s">
        <v>1029</v>
      </c>
      <c r="S227" s="3"/>
      <c r="T227" s="153"/>
      <c r="W227" s="811"/>
      <c r="Z227" s="153"/>
      <c r="AA227" s="3">
        <v>1739292</v>
      </c>
      <c r="AB227" s="4">
        <v>2010121</v>
      </c>
    </row>
    <row r="228" spans="1:28" x14ac:dyDescent="0.25">
      <c r="B228" s="17" t="s">
        <v>799</v>
      </c>
      <c r="T228" s="153"/>
      <c r="W228" s="811"/>
      <c r="Z228" s="153"/>
      <c r="AA228" s="4">
        <v>233512</v>
      </c>
      <c r="AB228" s="4">
        <v>282708</v>
      </c>
    </row>
    <row r="229" spans="1:28" x14ac:dyDescent="0.25">
      <c r="B229" s="17" t="s">
        <v>1055</v>
      </c>
      <c r="T229" s="153"/>
      <c r="W229" s="811"/>
      <c r="Z229" s="153"/>
      <c r="AA229" s="3">
        <v>358460</v>
      </c>
      <c r="AB229" s="4">
        <v>384910</v>
      </c>
    </row>
    <row r="230" spans="1:28" x14ac:dyDescent="0.25">
      <c r="B230" s="17" t="s">
        <v>1057</v>
      </c>
      <c r="T230" s="153"/>
      <c r="W230" s="811"/>
      <c r="Z230" s="153"/>
      <c r="AA230" s="4">
        <v>1061750</v>
      </c>
      <c r="AB230" s="801">
        <v>1326427</v>
      </c>
    </row>
    <row r="231" spans="1:28" x14ac:dyDescent="0.25">
      <c r="B231" s="17" t="s">
        <v>1054</v>
      </c>
      <c r="T231" s="153"/>
      <c r="W231" s="811"/>
      <c r="Z231" s="153"/>
      <c r="AA231" s="3">
        <v>1486781</v>
      </c>
      <c r="AB231" s="4">
        <v>1745853</v>
      </c>
    </row>
    <row r="232" spans="1:28" x14ac:dyDescent="0.25">
      <c r="B232" s="17" t="s">
        <v>1058</v>
      </c>
      <c r="F232" s="288"/>
      <c r="T232" s="153"/>
      <c r="W232" s="811"/>
      <c r="Z232" s="153"/>
      <c r="AA232" s="4">
        <v>1385923</v>
      </c>
      <c r="AB232" s="4">
        <v>1666549</v>
      </c>
    </row>
    <row r="233" spans="1:28" x14ac:dyDescent="0.25">
      <c r="B233" s="17" t="s">
        <v>1059</v>
      </c>
      <c r="T233" s="153"/>
      <c r="W233" s="811"/>
      <c r="Z233" s="153"/>
      <c r="AA233" s="3">
        <v>1240348</v>
      </c>
      <c r="AB233" s="4">
        <v>1424392</v>
      </c>
    </row>
    <row r="234" spans="1:28" x14ac:dyDescent="0.25">
      <c r="B234" s="17" t="s">
        <v>1010</v>
      </c>
      <c r="T234" s="153"/>
      <c r="W234" s="811"/>
      <c r="Z234" s="153"/>
      <c r="AA234" s="3"/>
      <c r="AB234" s="4">
        <v>372692</v>
      </c>
    </row>
    <row r="235" spans="1:28" x14ac:dyDescent="0.25">
      <c r="B235" s="17" t="s">
        <v>1064</v>
      </c>
      <c r="T235" s="153"/>
      <c r="W235" s="811"/>
      <c r="Z235" s="153"/>
      <c r="AA235" s="3">
        <v>513491</v>
      </c>
      <c r="AB235" s="4">
        <v>569470</v>
      </c>
    </row>
    <row r="236" spans="1:28" x14ac:dyDescent="0.25">
      <c r="B236" s="287"/>
      <c r="T236" s="153"/>
      <c r="W236" s="811"/>
      <c r="Z236" s="153"/>
    </row>
    <row r="237" spans="1:28" x14ac:dyDescent="0.25">
      <c r="B237" s="287"/>
    </row>
    <row r="238" spans="1:28" x14ac:dyDescent="0.25">
      <c r="B238" s="287"/>
    </row>
  </sheetData>
  <mergeCells count="34">
    <mergeCell ref="AA62:AD62"/>
    <mergeCell ref="AE62:AH62"/>
    <mergeCell ref="AI62:AL62"/>
    <mergeCell ref="BJ151:BN151"/>
    <mergeCell ref="AZ151:BD151"/>
    <mergeCell ref="BE151:BI151"/>
    <mergeCell ref="AF151:AJ151"/>
    <mergeCell ref="AK151:AO151"/>
    <mergeCell ref="AP151:AT151"/>
    <mergeCell ref="AU151:AY151"/>
    <mergeCell ref="AY9:BB9"/>
    <mergeCell ref="BC9:BF9"/>
    <mergeCell ref="AA9:AD9"/>
    <mergeCell ref="AE9:AH9"/>
    <mergeCell ref="AI9:AL9"/>
    <mergeCell ref="AM9:AP9"/>
    <mergeCell ref="AQ9:AT9"/>
    <mergeCell ref="AU9:AX9"/>
    <mergeCell ref="F175:G175"/>
    <mergeCell ref="AM62:AP62"/>
    <mergeCell ref="AQ62:AT62"/>
    <mergeCell ref="AA49:AC49"/>
    <mergeCell ref="AM50:AP50"/>
    <mergeCell ref="AQ50:AT50"/>
    <mergeCell ref="AD49:AF49"/>
    <mergeCell ref="AG49:AI49"/>
    <mergeCell ref="AJ49:AL49"/>
    <mergeCell ref="AA50:AD50"/>
    <mergeCell ref="AE50:AH50"/>
    <mergeCell ref="AI50:AL50"/>
    <mergeCell ref="AA75:AD75"/>
    <mergeCell ref="AE75:AH75"/>
    <mergeCell ref="AI75:AL75"/>
    <mergeCell ref="AA151:AE151"/>
  </mergeCells>
  <pageMargins left="0.25" right="0.25" top="0.75" bottom="0.75" header="0.3" footer="0.3"/>
  <pageSetup paperSize="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Demographics</vt:lpstr>
      <vt:lpstr>Productive</vt:lpstr>
      <vt:lpstr>Sustainable</vt:lpstr>
      <vt:lpstr>Inclusive</vt:lpstr>
      <vt:lpstr>Well governed</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Mazzuchetti, Candy</dc:creator>
  <cp:lastModifiedBy>Gillian Maree</cp:lastModifiedBy>
  <cp:lastPrinted>2016-02-09T12:34:03Z</cp:lastPrinted>
  <dcterms:created xsi:type="dcterms:W3CDTF">2015-02-19T06:26:01Z</dcterms:created>
  <dcterms:modified xsi:type="dcterms:W3CDTF">2016-04-12T09:27:08Z</dcterms:modified>
</cp:coreProperties>
</file>