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1275" windowWidth="19155" windowHeight="6105"/>
  </bookViews>
  <sheets>
    <sheet name="Well Governed" sheetId="1" r:id="rId1"/>
  </sheets>
  <calcPr calcId="145621"/>
</workbook>
</file>

<file path=xl/calcChain.xml><?xml version="1.0" encoding="utf-8"?>
<calcChain xmlns="http://schemas.openxmlformats.org/spreadsheetml/2006/main">
  <c r="AH163" i="1" l="1"/>
  <c r="AL162" i="1"/>
  <c r="AK162" i="1"/>
  <c r="BN161" i="1"/>
  <c r="BM161" i="1"/>
  <c r="BL161" i="1"/>
  <c r="BK161" i="1"/>
  <c r="BJ161" i="1"/>
  <c r="BI161" i="1"/>
  <c r="BH161" i="1"/>
  <c r="BG161" i="1"/>
  <c r="BF161" i="1"/>
  <c r="BE161" i="1"/>
  <c r="BC161" i="1"/>
  <c r="BB161" i="1"/>
  <c r="BA161" i="1"/>
  <c r="AZ161" i="1"/>
  <c r="AY161" i="1"/>
  <c r="AX161" i="1"/>
  <c r="AW161" i="1"/>
  <c r="AV161" i="1"/>
  <c r="AU161" i="1"/>
  <c r="AT161" i="1"/>
  <c r="AS161" i="1"/>
  <c r="AR161" i="1"/>
  <c r="AQ161" i="1"/>
  <c r="AP161" i="1"/>
  <c r="AO161" i="1"/>
  <c r="AN161" i="1"/>
  <c r="AM161" i="1"/>
  <c r="AL161" i="1"/>
  <c r="AK161" i="1"/>
  <c r="AJ161" i="1"/>
  <c r="AI161" i="1"/>
  <c r="AH161" i="1"/>
  <c r="AG161" i="1"/>
  <c r="AF161" i="1"/>
  <c r="AE161" i="1"/>
  <c r="AD161" i="1"/>
  <c r="AC161" i="1"/>
  <c r="AB161" i="1"/>
  <c r="AA161" i="1"/>
  <c r="BN160" i="1"/>
  <c r="BM160" i="1"/>
  <c r="BL160" i="1"/>
  <c r="BK160" i="1"/>
  <c r="BJ160" i="1"/>
  <c r="BI160" i="1"/>
  <c r="BH160" i="1"/>
  <c r="BG160" i="1"/>
  <c r="BF160" i="1"/>
  <c r="BE160" i="1"/>
  <c r="BC160" i="1"/>
  <c r="BB160" i="1"/>
  <c r="BA160" i="1"/>
  <c r="AZ160" i="1"/>
  <c r="AY160" i="1"/>
  <c r="AX160" i="1"/>
  <c r="AW160" i="1"/>
  <c r="AV160" i="1"/>
  <c r="AU160" i="1"/>
  <c r="AT160" i="1"/>
  <c r="AS160" i="1"/>
  <c r="AR160" i="1"/>
  <c r="AQ160" i="1"/>
  <c r="AP160" i="1"/>
  <c r="AO160" i="1"/>
  <c r="AN160" i="1"/>
  <c r="AM160" i="1"/>
  <c r="AL160" i="1"/>
  <c r="AK160" i="1"/>
  <c r="AJ160" i="1"/>
  <c r="AI160" i="1"/>
  <c r="AH160" i="1"/>
  <c r="AG160" i="1"/>
  <c r="AF160" i="1"/>
  <c r="AE160" i="1"/>
  <c r="AD160" i="1"/>
  <c r="AC160" i="1"/>
  <c r="AB160" i="1"/>
  <c r="AA160" i="1"/>
  <c r="BN159" i="1"/>
  <c r="BM159" i="1"/>
  <c r="BL159" i="1"/>
  <c r="BK159" i="1"/>
  <c r="BJ159" i="1"/>
  <c r="BI159" i="1"/>
  <c r="BH159" i="1"/>
  <c r="BG159" i="1"/>
  <c r="BF159" i="1"/>
  <c r="BE159" i="1"/>
  <c r="BC159" i="1"/>
  <c r="BB159" i="1"/>
  <c r="BA159" i="1"/>
  <c r="AZ159" i="1"/>
  <c r="AY159" i="1"/>
  <c r="AX159" i="1"/>
  <c r="AW159" i="1"/>
  <c r="AV159" i="1"/>
  <c r="AU159" i="1"/>
  <c r="AT159" i="1"/>
  <c r="AS159" i="1"/>
  <c r="AR159" i="1"/>
  <c r="AQ159" i="1"/>
  <c r="AP159" i="1"/>
  <c r="AO159" i="1"/>
  <c r="AN159" i="1"/>
  <c r="AM159" i="1"/>
  <c r="AL159" i="1"/>
  <c r="AK159" i="1"/>
  <c r="AJ159" i="1"/>
  <c r="AI159" i="1"/>
  <c r="AH159" i="1"/>
  <c r="AG159" i="1"/>
  <c r="AF159" i="1"/>
  <c r="AE159" i="1"/>
  <c r="AD159" i="1"/>
  <c r="AC159" i="1"/>
  <c r="AB159" i="1"/>
  <c r="AA159" i="1"/>
  <c r="BN158" i="1"/>
  <c r="BM158" i="1"/>
  <c r="BL158" i="1"/>
  <c r="BK158" i="1"/>
  <c r="BJ158" i="1"/>
  <c r="BI158" i="1"/>
  <c r="BH158" i="1"/>
  <c r="BG158" i="1"/>
  <c r="BF158" i="1"/>
  <c r="BE158" i="1"/>
  <c r="BC158" i="1"/>
  <c r="BB158" i="1"/>
  <c r="BA158" i="1"/>
  <c r="AZ158" i="1"/>
  <c r="AY158" i="1"/>
  <c r="AX158" i="1"/>
  <c r="AW158" i="1"/>
  <c r="AV158" i="1"/>
  <c r="AU158" i="1"/>
  <c r="AT158" i="1"/>
  <c r="AS158" i="1"/>
  <c r="AR158" i="1"/>
  <c r="AQ158" i="1"/>
  <c r="AP158" i="1"/>
  <c r="AO158" i="1"/>
  <c r="AN158" i="1"/>
  <c r="AM158" i="1"/>
  <c r="AL158" i="1"/>
  <c r="AK158" i="1"/>
  <c r="AJ158" i="1"/>
  <c r="AI158" i="1"/>
  <c r="AH158" i="1"/>
  <c r="AG158" i="1"/>
  <c r="AF158" i="1"/>
  <c r="AE158" i="1"/>
  <c r="AD158" i="1"/>
  <c r="AC158" i="1"/>
  <c r="AB158" i="1"/>
  <c r="AA158" i="1"/>
  <c r="BD156" i="1"/>
  <c r="BC156" i="1"/>
  <c r="BB156" i="1"/>
  <c r="BA156" i="1"/>
  <c r="AZ156" i="1"/>
  <c r="AY156" i="1"/>
  <c r="AN156" i="1"/>
  <c r="AM156" i="1"/>
  <c r="BN153" i="1"/>
  <c r="BM153" i="1"/>
  <c r="BL153" i="1"/>
  <c r="BK153" i="1"/>
  <c r="BJ153" i="1"/>
  <c r="BI153" i="1"/>
  <c r="BH153" i="1"/>
  <c r="BG153" i="1"/>
  <c r="BF153" i="1"/>
  <c r="BE153" i="1"/>
  <c r="BD153" i="1"/>
  <c r="BC153" i="1"/>
  <c r="BB153" i="1"/>
  <c r="BA153" i="1"/>
  <c r="AZ153" i="1"/>
  <c r="AY153" i="1"/>
  <c r="AX153" i="1"/>
  <c r="AW153" i="1"/>
  <c r="AV153" i="1"/>
  <c r="AU153" i="1"/>
  <c r="AT153" i="1"/>
  <c r="AS153" i="1"/>
  <c r="AR153" i="1"/>
  <c r="AQ153" i="1"/>
  <c r="AP153" i="1"/>
  <c r="AO153" i="1"/>
  <c r="AN153" i="1"/>
  <c r="AM153" i="1"/>
  <c r="AL153" i="1"/>
  <c r="AK153" i="1"/>
  <c r="AJ153" i="1"/>
  <c r="AI153" i="1"/>
  <c r="AH153" i="1"/>
  <c r="AG153" i="1"/>
  <c r="AF153" i="1"/>
  <c r="AE153" i="1"/>
  <c r="AD153" i="1"/>
  <c r="AC153" i="1"/>
  <c r="AB153" i="1"/>
  <c r="AA153" i="1"/>
  <c r="BA146" i="1"/>
  <c r="AZ146" i="1"/>
  <c r="BM145" i="1"/>
  <c r="BL145" i="1"/>
  <c r="AX87" i="1"/>
  <c r="BB87" i="1" s="1"/>
  <c r="AW87" i="1"/>
  <c r="BA87" i="1" s="1"/>
  <c r="AV87" i="1"/>
  <c r="AZ87" i="1" s="1"/>
  <c r="AU87" i="1"/>
  <c r="AY87" i="1" s="1"/>
  <c r="AX86" i="1"/>
  <c r="BB86" i="1" s="1"/>
  <c r="AW86" i="1"/>
  <c r="BA86" i="1" s="1"/>
  <c r="AV86" i="1"/>
  <c r="AZ86" i="1" s="1"/>
  <c r="AU86" i="1"/>
  <c r="AY86" i="1" s="1"/>
  <c r="AX85" i="1"/>
  <c r="BB85" i="1" s="1"/>
  <c r="AW85" i="1"/>
  <c r="BA85" i="1" s="1"/>
  <c r="AV85" i="1"/>
  <c r="AZ85" i="1" s="1"/>
  <c r="AU85" i="1"/>
  <c r="AY85" i="1" s="1"/>
  <c r="AX84" i="1"/>
  <c r="BB84" i="1" s="1"/>
  <c r="AW84" i="1"/>
  <c r="BA84" i="1" s="1"/>
  <c r="AV84" i="1"/>
  <c r="AZ84" i="1" s="1"/>
  <c r="AU84" i="1"/>
  <c r="AY84" i="1" s="1"/>
  <c r="AX83" i="1"/>
  <c r="BB83" i="1" s="1"/>
  <c r="AW83" i="1"/>
  <c r="BA83" i="1" s="1"/>
  <c r="AV83" i="1"/>
  <c r="AZ83" i="1" s="1"/>
  <c r="AU83" i="1"/>
  <c r="AY83" i="1" s="1"/>
  <c r="AX82" i="1"/>
  <c r="BB82" i="1" s="1"/>
  <c r="AW82" i="1"/>
  <c r="BA82" i="1" s="1"/>
  <c r="AV82" i="1"/>
  <c r="AZ82" i="1" s="1"/>
  <c r="AU82" i="1"/>
  <c r="AY82" i="1" s="1"/>
  <c r="AX81" i="1"/>
  <c r="BB81" i="1" s="1"/>
  <c r="AW81" i="1"/>
  <c r="BA81" i="1" s="1"/>
  <c r="AV81" i="1"/>
  <c r="AZ81" i="1" s="1"/>
  <c r="AU81" i="1"/>
  <c r="AY81" i="1" s="1"/>
  <c r="AX80" i="1"/>
  <c r="BB80" i="1" s="1"/>
  <c r="AW80" i="1"/>
  <c r="BA80" i="1" s="1"/>
  <c r="AV80" i="1"/>
  <c r="AZ80" i="1" s="1"/>
  <c r="AU80" i="1"/>
  <c r="AY80" i="1" s="1"/>
  <c r="BB79" i="1"/>
  <c r="AX79" i="1"/>
  <c r="AW79" i="1"/>
  <c r="BA79" i="1" s="1"/>
  <c r="AV79" i="1"/>
  <c r="AZ79" i="1" s="1"/>
  <c r="AU79" i="1"/>
  <c r="AY79" i="1" s="1"/>
  <c r="AX65" i="1"/>
  <c r="BB65" i="1" s="1"/>
  <c r="AW65" i="1"/>
  <c r="BA65" i="1" s="1"/>
  <c r="AV65" i="1"/>
  <c r="AZ65" i="1" s="1"/>
  <c r="AU65" i="1"/>
  <c r="AY65" i="1" s="1"/>
  <c r="AX64" i="1"/>
  <c r="BB64" i="1" s="1"/>
  <c r="AW64" i="1"/>
  <c r="BA64" i="1" s="1"/>
  <c r="AV64" i="1"/>
  <c r="AZ64" i="1" s="1"/>
  <c r="AU64" i="1"/>
  <c r="AY64" i="1" s="1"/>
  <c r="AX63" i="1"/>
  <c r="BB63" i="1" s="1"/>
  <c r="AW63" i="1"/>
  <c r="BA63" i="1" s="1"/>
  <c r="AV63" i="1"/>
  <c r="AZ63" i="1" s="1"/>
  <c r="AU63" i="1"/>
  <c r="AY63" i="1" s="1"/>
  <c r="AX62" i="1"/>
  <c r="BB62" i="1" s="1"/>
  <c r="AW62" i="1"/>
  <c r="BA62" i="1" s="1"/>
  <c r="AV62" i="1"/>
  <c r="AZ62" i="1" s="1"/>
  <c r="AU62" i="1"/>
  <c r="AY62" i="1" s="1"/>
  <c r="AX61" i="1"/>
  <c r="BB61" i="1" s="1"/>
  <c r="AW61" i="1"/>
  <c r="BA61" i="1" s="1"/>
  <c r="AV61" i="1"/>
  <c r="AZ61" i="1" s="1"/>
  <c r="AU61" i="1"/>
  <c r="AY61" i="1" s="1"/>
  <c r="AX60" i="1"/>
  <c r="BB60" i="1" s="1"/>
  <c r="AW60" i="1"/>
  <c r="BA60" i="1" s="1"/>
  <c r="AV60" i="1"/>
  <c r="AZ60" i="1" s="1"/>
  <c r="AU60" i="1"/>
  <c r="AY60" i="1" s="1"/>
  <c r="AX59" i="1"/>
  <c r="BB59" i="1" s="1"/>
  <c r="AW59" i="1"/>
  <c r="BA59" i="1" s="1"/>
  <c r="AV59" i="1"/>
  <c r="AZ59" i="1" s="1"/>
  <c r="AU59" i="1"/>
  <c r="AY59" i="1" s="1"/>
  <c r="AX58" i="1"/>
  <c r="BB58" i="1" s="1"/>
  <c r="AW58" i="1"/>
  <c r="BA58" i="1" s="1"/>
  <c r="AV58" i="1"/>
  <c r="AZ58" i="1" s="1"/>
  <c r="AU58" i="1"/>
  <c r="AY58" i="1" s="1"/>
  <c r="AX57" i="1"/>
  <c r="BB57" i="1" s="1"/>
  <c r="AW57" i="1"/>
  <c r="BA57" i="1" s="1"/>
  <c r="AV57" i="1"/>
  <c r="AZ57" i="1" s="1"/>
  <c r="AU57" i="1"/>
  <c r="AY57" i="1" s="1"/>
  <c r="AX53" i="1"/>
  <c r="BB53" i="1" s="1"/>
  <c r="AW53" i="1"/>
  <c r="BA53" i="1" s="1"/>
  <c r="AV53" i="1"/>
  <c r="AZ53" i="1" s="1"/>
  <c r="AU53" i="1"/>
  <c r="AY53" i="1" s="1"/>
  <c r="AX52" i="1"/>
  <c r="BB52" i="1" s="1"/>
  <c r="AW52" i="1"/>
  <c r="BA52" i="1" s="1"/>
  <c r="AV52" i="1"/>
  <c r="AZ52" i="1" s="1"/>
  <c r="AU52" i="1"/>
  <c r="AY52" i="1" s="1"/>
  <c r="AX51" i="1"/>
  <c r="BB51" i="1" s="1"/>
  <c r="AW51" i="1"/>
  <c r="BA51" i="1" s="1"/>
  <c r="AV51" i="1"/>
  <c r="AZ51" i="1" s="1"/>
  <c r="AU51" i="1"/>
  <c r="AY51" i="1" s="1"/>
  <c r="AX50" i="1"/>
  <c r="BB50" i="1" s="1"/>
  <c r="AW50" i="1"/>
  <c r="BA50" i="1" s="1"/>
  <c r="AV50" i="1"/>
  <c r="AZ50" i="1" s="1"/>
  <c r="AU50" i="1"/>
  <c r="AY50" i="1" s="1"/>
  <c r="AX49" i="1"/>
  <c r="BB49" i="1" s="1"/>
  <c r="AW49" i="1"/>
  <c r="BA49" i="1" s="1"/>
  <c r="AV49" i="1"/>
  <c r="AZ49" i="1" s="1"/>
  <c r="AU49" i="1"/>
  <c r="AY49" i="1" s="1"/>
  <c r="AX48" i="1"/>
  <c r="BB48" i="1" s="1"/>
  <c r="AW48" i="1"/>
  <c r="BA48" i="1" s="1"/>
  <c r="AV48" i="1"/>
  <c r="AZ48" i="1" s="1"/>
  <c r="AU48" i="1"/>
  <c r="AY48" i="1" s="1"/>
  <c r="AX47" i="1"/>
  <c r="BB47" i="1" s="1"/>
  <c r="AW47" i="1"/>
  <c r="BA47" i="1" s="1"/>
  <c r="AV47" i="1"/>
  <c r="AZ47" i="1" s="1"/>
  <c r="AU47" i="1"/>
  <c r="AY47" i="1" s="1"/>
  <c r="AX46" i="1"/>
  <c r="BB46" i="1" s="1"/>
  <c r="AW46" i="1"/>
  <c r="BA46" i="1" s="1"/>
  <c r="AV46" i="1"/>
  <c r="AZ46" i="1" s="1"/>
  <c r="AU46" i="1"/>
  <c r="AY46" i="1" s="1"/>
  <c r="AX45" i="1"/>
  <c r="BB45" i="1" s="1"/>
  <c r="AW45" i="1"/>
  <c r="BA45" i="1" s="1"/>
  <c r="AV45" i="1"/>
  <c r="AZ45" i="1" s="1"/>
  <c r="AU45" i="1"/>
  <c r="AY45" i="1" s="1"/>
  <c r="AA38" i="1"/>
</calcChain>
</file>

<file path=xl/comments1.xml><?xml version="1.0" encoding="utf-8"?>
<comments xmlns="http://schemas.openxmlformats.org/spreadsheetml/2006/main">
  <authors>
    <author>hschutte</author>
  </authors>
  <commentList>
    <comment ref="AF143" authorId="0">
      <text>
        <r>
          <rPr>
            <b/>
            <sz val="9"/>
            <color indexed="81"/>
            <rFont val="Tahoma"/>
            <family val="2"/>
          </rPr>
          <t>hschutte:</t>
        </r>
        <r>
          <rPr>
            <sz val="9"/>
            <color indexed="81"/>
            <rFont val="Tahoma"/>
            <family val="2"/>
          </rPr>
          <t xml:space="preserve">
Split not disclosed in AFS</t>
        </r>
      </text>
    </comment>
    <comment ref="AK143" authorId="0">
      <text>
        <r>
          <rPr>
            <b/>
            <sz val="9"/>
            <color indexed="81"/>
            <rFont val="Tahoma"/>
            <family val="2"/>
          </rPr>
          <t>hschutte:</t>
        </r>
        <r>
          <rPr>
            <sz val="9"/>
            <color indexed="81"/>
            <rFont val="Tahoma"/>
            <family val="2"/>
          </rPr>
          <t xml:space="preserve">
Split between residential and business not disclosed</t>
        </r>
      </text>
    </comment>
    <comment ref="BJ143" authorId="0">
      <text>
        <r>
          <rPr>
            <b/>
            <sz val="9"/>
            <color indexed="81"/>
            <rFont val="Tahoma"/>
            <family val="2"/>
          </rPr>
          <t>hschutte:</t>
        </r>
        <r>
          <rPr>
            <sz val="9"/>
            <color indexed="81"/>
            <rFont val="Tahoma"/>
            <family val="2"/>
          </rPr>
          <t xml:space="preserve">
Split between residential and business not available
</t>
        </r>
      </text>
    </comment>
    <comment ref="AF144" authorId="0">
      <text>
        <r>
          <rPr>
            <b/>
            <sz val="9"/>
            <color indexed="81"/>
            <rFont val="Tahoma"/>
            <family val="2"/>
          </rPr>
          <t>hschutte:</t>
        </r>
        <r>
          <rPr>
            <sz val="9"/>
            <color indexed="81"/>
            <rFont val="Tahoma"/>
            <family val="2"/>
          </rPr>
          <t xml:space="preserve">
Split not disclosed in AFS</t>
        </r>
      </text>
    </comment>
    <comment ref="AK144" authorId="0">
      <text>
        <r>
          <rPr>
            <b/>
            <sz val="9"/>
            <color indexed="81"/>
            <rFont val="Tahoma"/>
            <family val="2"/>
          </rPr>
          <t>hschutte:</t>
        </r>
        <r>
          <rPr>
            <sz val="9"/>
            <color indexed="81"/>
            <rFont val="Tahoma"/>
            <family val="2"/>
          </rPr>
          <t xml:space="preserve">
Split between residential and business not disclosed</t>
        </r>
      </text>
    </comment>
    <comment ref="BJ144" authorId="0">
      <text>
        <r>
          <rPr>
            <b/>
            <sz val="9"/>
            <color indexed="81"/>
            <rFont val="Tahoma"/>
            <family val="2"/>
          </rPr>
          <t>hschutte:</t>
        </r>
        <r>
          <rPr>
            <sz val="9"/>
            <color indexed="81"/>
            <rFont val="Tahoma"/>
            <family val="2"/>
          </rPr>
          <t xml:space="preserve">
Split between residential and business not available</t>
        </r>
      </text>
    </comment>
    <comment ref="BN162" authorId="0">
      <text>
        <r>
          <rPr>
            <b/>
            <sz val="9"/>
            <color indexed="81"/>
            <rFont val="Tahoma"/>
            <family val="2"/>
          </rPr>
          <t>hschutte:</t>
        </r>
        <r>
          <rPr>
            <sz val="9"/>
            <color indexed="81"/>
            <rFont val="Tahoma"/>
            <family val="2"/>
          </rPr>
          <t xml:space="preserve">
Not disclosed</t>
        </r>
      </text>
    </comment>
  </commentList>
</comments>
</file>

<file path=xl/sharedStrings.xml><?xml version="1.0" encoding="utf-8"?>
<sst xmlns="http://schemas.openxmlformats.org/spreadsheetml/2006/main" count="1544" uniqueCount="394">
  <si>
    <t>Is the data available for this indicator?</t>
  </si>
  <si>
    <t>Available</t>
  </si>
  <si>
    <t>Not available</t>
  </si>
  <si>
    <t>City of Johannesburg</t>
  </si>
  <si>
    <t>City of Tshwane</t>
  </si>
  <si>
    <t>City of Cape Town</t>
  </si>
  <si>
    <t xml:space="preserve">eThekwini Munincipality </t>
  </si>
  <si>
    <t>Ekurhuleni Municipality</t>
  </si>
  <si>
    <t>Nelson Mandela Bay Municipality</t>
  </si>
  <si>
    <t>Buffalo City Municipality</t>
  </si>
  <si>
    <t>Mangaung Municipality</t>
  </si>
  <si>
    <t>Definition</t>
  </si>
  <si>
    <t>Notes</t>
  </si>
  <si>
    <t>Theme</t>
  </si>
  <si>
    <t>Sub-Theme</t>
  </si>
  <si>
    <t>Programme</t>
  </si>
  <si>
    <t>Core / Secondary</t>
  </si>
  <si>
    <t>Source</t>
  </si>
  <si>
    <t>Contact details</t>
  </si>
  <si>
    <t>Date of collection</t>
  </si>
  <si>
    <t>Date data available</t>
  </si>
  <si>
    <t>Links</t>
  </si>
  <si>
    <t>Resolution</t>
  </si>
  <si>
    <t>Frequency</t>
  </si>
  <si>
    <t>Spatial</t>
  </si>
  <si>
    <t>Form</t>
  </si>
  <si>
    <t>Unit of Analysis</t>
  </si>
  <si>
    <t>Obtained</t>
  </si>
  <si>
    <t>Not obtained</t>
  </si>
  <si>
    <t>To be bought</t>
  </si>
  <si>
    <t>Not structured</t>
  </si>
  <si>
    <t>Does not exist</t>
  </si>
  <si>
    <t>Municipal management vacancies</t>
  </si>
  <si>
    <t>Number of vacancies at senior management level</t>
  </si>
  <si>
    <t>Well governed cities</t>
  </si>
  <si>
    <t>Human Capacity development</t>
  </si>
  <si>
    <t>core</t>
  </si>
  <si>
    <t>Non-financial census</t>
  </si>
  <si>
    <t>Pat Naidoo, PatrickN@statssa.gov.za</t>
  </si>
  <si>
    <t>November (Annually)</t>
  </si>
  <si>
    <t>June (following year)</t>
  </si>
  <si>
    <t>Metro</t>
  </si>
  <si>
    <t>Annually</t>
  </si>
  <si>
    <t>To be determined</t>
  </si>
  <si>
    <t>Data available and extracted from Non-financial census</t>
  </si>
  <si>
    <t>a</t>
  </si>
  <si>
    <t>Municipal posts</t>
  </si>
  <si>
    <t>Number of staff posts by type</t>
  </si>
  <si>
    <t>from sustainable cities</t>
  </si>
  <si>
    <t>Core</t>
  </si>
  <si>
    <t>Community And Social Services</t>
  </si>
  <si>
    <t xml:space="preserve">Finance And Administration </t>
  </si>
  <si>
    <t>Electricity</t>
  </si>
  <si>
    <t>Environmental Protection</t>
  </si>
  <si>
    <t>Health</t>
  </si>
  <si>
    <t>Public Safety</t>
  </si>
  <si>
    <t>Road Transport</t>
  </si>
  <si>
    <t>Sport and Recreation</t>
  </si>
  <si>
    <t>Waste Management</t>
  </si>
  <si>
    <t>Waste Water Management</t>
  </si>
  <si>
    <t>Water</t>
  </si>
  <si>
    <t>Other</t>
  </si>
  <si>
    <t>Performance management</t>
  </si>
  <si>
    <t>Value of performance management practices implemented in the municipality</t>
  </si>
  <si>
    <t>Vulnerability</t>
  </si>
  <si>
    <t>State of the municipal capacity</t>
  </si>
  <si>
    <t>No data collected or captured</t>
  </si>
  <si>
    <t>Municipal staff vacancies</t>
  </si>
  <si>
    <t>Number of vacant posts</t>
  </si>
  <si>
    <t>Municipal Skills Shortage</t>
  </si>
  <si>
    <t>Rate at which vacant posts are filled by level</t>
  </si>
  <si>
    <t>Electricity interruptions</t>
  </si>
  <si>
    <t>Total number of reported electricity interruptions</t>
  </si>
  <si>
    <t>move to governence (indicator of government responsiveness)</t>
  </si>
  <si>
    <t>Sustainable Cities</t>
  </si>
  <si>
    <t>Service delivery</t>
  </si>
  <si>
    <t>Metros</t>
  </si>
  <si>
    <t>Duration electricity interruptions</t>
  </si>
  <si>
    <t>Average length of time of electricity interruptions</t>
  </si>
  <si>
    <t>secondary</t>
  </si>
  <si>
    <t>Water interruptions</t>
  </si>
  <si>
    <t>Total number of reported water interruptions</t>
  </si>
  <si>
    <t>Duration water interruptions</t>
  </si>
  <si>
    <t>Average length of time of water interruptions</t>
  </si>
  <si>
    <t>Voter registration - national &amp; local</t>
  </si>
  <si>
    <t>Number of voters registered to vote in the local and national elections</t>
  </si>
  <si>
    <t>from inclusive cities</t>
  </si>
  <si>
    <t>Citizen engagement and participation</t>
  </si>
  <si>
    <t>Independent Electoral Commission (IEC)</t>
  </si>
  <si>
    <t>Bryan Heuvel, 012 62 5415</t>
  </si>
  <si>
    <t>Election year</t>
  </si>
  <si>
    <t>Total, ratio to total &amp; national average, short term &amp; long term trends, sector</t>
  </si>
  <si>
    <t>Voting registration by voting district</t>
  </si>
  <si>
    <t>Voter turnout - national &amp; local</t>
  </si>
  <si>
    <t xml:space="preserve">Number of registered voters voted in the local and national elections. Voter participation is the best existing means of measuring civic and political engagement for several reasons (high quality data, broad cross-country comparability) (OECD). </t>
  </si>
  <si>
    <t>Steward Murphy, 012 622 5936</t>
  </si>
  <si>
    <t>Voting turnout by voting district</t>
  </si>
  <si>
    <t>Data available and extracted from StatsSA online</t>
  </si>
  <si>
    <t>Voter turnout - Local (2011)</t>
  </si>
  <si>
    <t>Voter Turnout - National (2014)</t>
  </si>
  <si>
    <t>Gauteng</t>
  </si>
  <si>
    <t>Free State</t>
  </si>
  <si>
    <t>Western Cape</t>
  </si>
  <si>
    <t>Eastern Cape</t>
  </si>
  <si>
    <t>Kwa-Zulu Natal</t>
  </si>
  <si>
    <t>Limpopo</t>
  </si>
  <si>
    <t>Northern Cape</t>
  </si>
  <si>
    <t>North West</t>
  </si>
  <si>
    <t>Mpumalanga</t>
  </si>
  <si>
    <t>Total</t>
  </si>
  <si>
    <t>Consultation on Rule-making</t>
  </si>
  <si>
    <t>Transparency in communication and open access to regulations promotes government accountability, a business-friendly environment and public trust in government institutions.  indicator describes the extent to which formal consultation processes are built-in to the regulatory law-making process.  The indicator is based on a composite index comprised of various information on the openness and transparency of the consultation process.  It refers to the existence of institutional practices but does not, however, gauge whether these procedures are in fact effective.</t>
  </si>
  <si>
    <t>loads of international indicators on citizen engagement but dependant on surveys</t>
  </si>
  <si>
    <t>Batho Pele principles</t>
  </si>
  <si>
    <t>Extent to which Batho Pele principles are being implemented</t>
  </si>
  <si>
    <t>Need to follow up with KMRG</t>
  </si>
  <si>
    <t xml:space="preserve">Some Metros already monitor these principles - see - http://www.ekurhuleni.gov.za/the-organisation/batho-pele
No data collected or captured </t>
  </si>
  <si>
    <t>Citizen satisfaction</t>
  </si>
  <si>
    <t>Percentage people satisfied or very satisfied with municipal performance</t>
  </si>
  <si>
    <t>Contact HSRC to ascertain correct indicator</t>
  </si>
  <si>
    <t>Access to free basic services to all qualifying people in the municipality:</t>
  </si>
  <si>
    <t>Free basic services include electricity, water, sanitation and refuse removal (see indicators below)</t>
  </si>
  <si>
    <t>Infrastructure, service delivery, management and maintenance</t>
  </si>
  <si>
    <t>Quarterly</t>
  </si>
  <si>
    <t xml:space="preserve">The data represented here was available and extracted from IHS Global Insight, Regional Explorer- Household Infrastructure: Number of households by level of access to Water, Sanitation, Electricity, Refuse Collection. </t>
  </si>
  <si>
    <t>a) Access to water</t>
  </si>
  <si>
    <t>Number of households who have access to water by type (ie none, RDP, piped, backlog)</t>
  </si>
  <si>
    <t>IHS Global Insight- Regional eXplorer 759 (2.5q): Household Infrastructure-Water infrastructure. Number of households by level of access to Water</t>
  </si>
  <si>
    <t>Pat Naidoo, PatrickN@statssa.gov.za; Isabel Schmidt, isabelsc@statssa.gov.za</t>
  </si>
  <si>
    <t>June (following year); May (following year)</t>
  </si>
  <si>
    <t>Total, ratio to total &amp; national average, short term &amp; long term trends</t>
  </si>
  <si>
    <t>Bar chart maps showing access to by suburb</t>
  </si>
  <si>
    <t>Piped water inside dwelling</t>
  </si>
  <si>
    <t>Piped water in yard</t>
  </si>
  <si>
    <t>Communal piped water: less than 200m from dwelling (At RDP-level)</t>
  </si>
  <si>
    <t>Communal piped water: more than 200m from dwelling (Below RDP)</t>
  </si>
  <si>
    <t>No formal piped water</t>
  </si>
  <si>
    <t>All access to Water in yard</t>
  </si>
  <si>
    <t>Total households</t>
  </si>
  <si>
    <t>EThekwini Municipality</t>
  </si>
  <si>
    <t xml:space="preserve">Msunduzi Municipality </t>
  </si>
  <si>
    <t>b) Access to sanitation</t>
  </si>
  <si>
    <t>Percentage households who have access to sanitation by type (ie none, mainline, backlog)</t>
  </si>
  <si>
    <t>IHS Global Insight- Regional eXplorer 759 (2.5q): Household Infrastructure- Sanitation. Number of households by type of Toilet</t>
  </si>
  <si>
    <t>This data represents the number of households by level of access (instead of % of households as definition asks for)</t>
  </si>
  <si>
    <t>Flush toilet</t>
  </si>
  <si>
    <t>Ventilation Improved Pits (VIP's)</t>
  </si>
  <si>
    <t>Pit toilet s</t>
  </si>
  <si>
    <t xml:space="preserve">Bucket Systems </t>
  </si>
  <si>
    <t>No toilet</t>
  </si>
  <si>
    <t>Access to sanitation</t>
  </si>
  <si>
    <t>c) Access to electricity</t>
  </si>
  <si>
    <t>Percentage households who have access to electricity. ** Number of Households</t>
  </si>
  <si>
    <t>IHS Global Insight- Regional eXplorer 759 (2.5q): Household Infrastructure-Electricity connections. Number of households by electricity usage</t>
  </si>
  <si>
    <t>Electricity for lighting only</t>
  </si>
  <si>
    <t>Electricity for lighting and other purposes</t>
  </si>
  <si>
    <t>Not using electricity</t>
  </si>
  <si>
    <t>d) Access to refuse removal - weekly</t>
  </si>
  <si>
    <t>Percentage households who have access to refuse removal by type (ie none, weekly, less often) ** Number of Households</t>
  </si>
  <si>
    <t>IHS Global Insight- Regional eXplorer 759 (2.5q): Household Infrastructure- Refuse Removal. Number of households by access to refuse removal</t>
  </si>
  <si>
    <t xml:space="preserve">Removed weekly by authority </t>
  </si>
  <si>
    <t xml:space="preserve">Removed less often than weekly by authority </t>
  </si>
  <si>
    <t>Removed by community members</t>
  </si>
  <si>
    <t>Personally removed (own dump)</t>
  </si>
  <si>
    <t xml:space="preserve">No refuse removal </t>
  </si>
  <si>
    <t>Access to refuse removal</t>
  </si>
  <si>
    <t>Community halls</t>
  </si>
  <si>
    <t>Number of community halls</t>
  </si>
  <si>
    <t>Total, ratio to population</t>
  </si>
  <si>
    <t>Location of community halls</t>
  </si>
  <si>
    <t>Libraries</t>
  </si>
  <si>
    <t>Number of libraries</t>
  </si>
  <si>
    <t>Location of libraries</t>
  </si>
  <si>
    <t>Fire stations</t>
  </si>
  <si>
    <t>Number of fire stations</t>
  </si>
  <si>
    <t>Location of fire stations</t>
  </si>
  <si>
    <t>Fire protection personnel - Metro</t>
  </si>
  <si>
    <t>Number of people employed in fire protection services</t>
  </si>
  <si>
    <t>Police personnel - SAPS</t>
  </si>
  <si>
    <t>Number of police personnel employed by the SAPS</t>
  </si>
  <si>
    <t>SAPS</t>
  </si>
  <si>
    <t>Police personnel - Metro</t>
  </si>
  <si>
    <t>Number of police personnel employed by the Metro</t>
  </si>
  <si>
    <t>Fire protection services expenditure</t>
  </si>
  <si>
    <t>Amount of expenditure on fire protection servcices</t>
  </si>
  <si>
    <t>Financial census</t>
  </si>
  <si>
    <t>Schools</t>
  </si>
  <si>
    <t>Total number of primary and secondary schools</t>
  </si>
  <si>
    <t>Dept of Basic Education - Annual Schools Survey</t>
  </si>
  <si>
    <t>Siza Shongwe, shongwe.s@dbe.gov.za, 012 357 3669</t>
  </si>
  <si>
    <t>Location of primary and secondary schools</t>
  </si>
  <si>
    <t>Primary Health Care clinics - provincial</t>
  </si>
  <si>
    <t>Number of Primary Health Care clinics operated by provincial government</t>
  </si>
  <si>
    <t>Dept of Health/ Health Systems Trust</t>
  </si>
  <si>
    <t>Naomi Massyn, Naomi.Massyn@hst.org.za, o83 4192801</t>
  </si>
  <si>
    <t>Location of provincial Primary Health Care clinics</t>
  </si>
  <si>
    <t>Clinics - provincial</t>
  </si>
  <si>
    <t>Number of clinics operated by provincial government</t>
  </si>
  <si>
    <t>Secondary</t>
  </si>
  <si>
    <t>Location of provincial clinics</t>
  </si>
  <si>
    <t>Health and ambulance expenditure - provincial</t>
  </si>
  <si>
    <t>Amount of expenditure onhealth and ambulance services by the province</t>
  </si>
  <si>
    <t>Dept of Health, Health Systems Trust</t>
  </si>
  <si>
    <t>Health and ambulance expenditure - Metro</t>
  </si>
  <si>
    <t>Amount of expenditure onhealth and ambulance services by the Metro</t>
  </si>
  <si>
    <t>Health workers - Metro</t>
  </si>
  <si>
    <t>Number of health workers employed by the Metro</t>
  </si>
  <si>
    <t>Health workers - provincial</t>
  </si>
  <si>
    <t>Private practitioners</t>
  </si>
  <si>
    <t>Board of Healthcare Funders (BHF)</t>
  </si>
  <si>
    <t>ARV Clinics - provincial</t>
  </si>
  <si>
    <t>Number of clinics dispensing ARVs</t>
  </si>
  <si>
    <t>Naomi Massyn, Naomi.Massyn@hst.org.za, o83 4192800</t>
  </si>
  <si>
    <t>Location of provincial ARV clinics</t>
  </si>
  <si>
    <t>Clinics - Metro</t>
  </si>
  <si>
    <t>Number of clinics  operated by Metro</t>
  </si>
  <si>
    <t>Dept of Health/ Health Systems Trust/Metro</t>
  </si>
  <si>
    <t>Location of Metro clinics</t>
  </si>
  <si>
    <t>Primary Health Care clinics - Metro</t>
  </si>
  <si>
    <t>Number of Primary Health Care clinics  operated by Metro</t>
  </si>
  <si>
    <t>Location of Metro Primary Health Care clinics</t>
  </si>
  <si>
    <t>Waste management staff</t>
  </si>
  <si>
    <t>Total number of employees in solid waste management (fulltime, parttime, vacant)</t>
  </si>
  <si>
    <t>Waste management assets</t>
  </si>
  <si>
    <t>Expenditure on construction of sewerage and sanitation facilities</t>
  </si>
  <si>
    <t>Waste facility maintenance &amp; repair</t>
  </si>
  <si>
    <t>Expenditure on repairs and maintenance of refuse removal, sewerage and sanitation facilities</t>
  </si>
  <si>
    <t>IWMP Reporting</t>
  </si>
  <si>
    <t>Status of IWMP report</t>
  </si>
  <si>
    <t>Metros/ DEA</t>
  </si>
  <si>
    <t>Wastewater</t>
  </si>
  <si>
    <t>Household access to wastewater treatment by type</t>
  </si>
  <si>
    <t>National Aquatic Ecosystem Health Programme (NAEHP). No data collected or captured</t>
  </si>
  <si>
    <t>% allocated and spent of capital and maintenance budgets</t>
  </si>
  <si>
    <t>% spent of the allocated budgets for capital development and maintenance of infrastruture. As a measure of commitment to IDP and SDBIP goals</t>
  </si>
  <si>
    <t>National Treasury Local Government Database</t>
  </si>
  <si>
    <t>Elsabe Rossouw, Elsabe.Rossouw@treasury.gov.za</t>
  </si>
  <si>
    <t xml:space="preserve">Metro  </t>
  </si>
  <si>
    <t>Total in Rands by sector</t>
  </si>
  <si>
    <t>Capital and maintenance budgets</t>
  </si>
  <si>
    <t>% of budget allocated to maintenance and operations, versus new capital development</t>
  </si>
  <si>
    <t>2013/14</t>
  </si>
  <si>
    <t>2012/13</t>
  </si>
  <si>
    <t>2011/12</t>
  </si>
  <si>
    <t>2010/11</t>
  </si>
  <si>
    <t>2009/10</t>
  </si>
  <si>
    <t>External audit</t>
  </si>
  <si>
    <t xml:space="preserve">Status of audit findings </t>
  </si>
  <si>
    <t>Audit and administration</t>
  </si>
  <si>
    <t>Auditor -General South Africa</t>
  </si>
  <si>
    <t xml:space="preserve">Data collected and  captured </t>
  </si>
  <si>
    <t>TBA</t>
  </si>
  <si>
    <t>Unqualified with findings</t>
  </si>
  <si>
    <t>Qualified with findings</t>
  </si>
  <si>
    <t>Unqualified with no findings</t>
  </si>
  <si>
    <t>Adverse with findings</t>
  </si>
  <si>
    <t>Internal audit</t>
  </si>
  <si>
    <t>Status of internal audit</t>
  </si>
  <si>
    <t>Informal settlements</t>
  </si>
  <si>
    <t xml:space="preserve">Gillian to correct *see note </t>
  </si>
  <si>
    <t>urban management</t>
  </si>
  <si>
    <t>Metros/Human Settlement</t>
  </si>
  <si>
    <t xml:space="preserve">The data captured for this indicator represents the ratio of the % of informal settlements to % of formal dwelling- Calculated as %informal dwellings/ %formal dwellings. Data was calculated from requested data from StatsSA- Niel Roux. </t>
  </si>
  <si>
    <t>Msunduzi Municipality</t>
  </si>
  <si>
    <t>Urbanization policy</t>
  </si>
  <si>
    <t>Status of urbanisation</t>
  </si>
  <si>
    <t>Land development</t>
  </si>
  <si>
    <t>Size of of land been given approval for development</t>
  </si>
  <si>
    <t>Revenue profile</t>
  </si>
  <si>
    <t>Amount of revenue by source</t>
  </si>
  <si>
    <t>Well Governed cities</t>
  </si>
  <si>
    <t>REVENUE</t>
  </si>
  <si>
    <t>Residential rates</t>
  </si>
  <si>
    <t>Rand value of rates paid by residences and businesses</t>
  </si>
  <si>
    <t>Business rates</t>
  </si>
  <si>
    <t>Services levy</t>
  </si>
  <si>
    <t>Rand value of rates paid by residences and businesses for services</t>
  </si>
  <si>
    <t>Grants</t>
  </si>
  <si>
    <t>Total value of grants to Metro</t>
  </si>
  <si>
    <t>Property rates</t>
  </si>
  <si>
    <t>Rand value paid as property rates</t>
  </si>
  <si>
    <t>Capital grants &amp; transfers</t>
  </si>
  <si>
    <t>Value of grants and transfers for capital expenditure</t>
  </si>
  <si>
    <t>Spending profile</t>
  </si>
  <si>
    <t>Metro expenditure by type (eg public transport, residential housing, roads, etc)</t>
  </si>
  <si>
    <t>EXPENDITURE</t>
  </si>
  <si>
    <t>Totals, ratio to total, income &amp; national average, per capita, short term &amp; long term trends, by sector</t>
  </si>
  <si>
    <t>Capital expenditure</t>
  </si>
  <si>
    <t>Funding for capital projects by source</t>
  </si>
  <si>
    <t>Operating surplus</t>
  </si>
  <si>
    <t>Budget income and budget expenditure</t>
  </si>
  <si>
    <t>SURPLUS</t>
  </si>
  <si>
    <t>Debt collection</t>
  </si>
  <si>
    <t>Amount of bad debt recovered</t>
  </si>
  <si>
    <t>FINANCIAL MANAGEMENT</t>
  </si>
  <si>
    <t>Debtors</t>
  </si>
  <si>
    <t>Money owed to metro by income source</t>
  </si>
  <si>
    <t>Bad Debt</t>
  </si>
  <si>
    <t>Amount of owed to Metros by the creditors that cannot be collected (ie loss) and all reasonable efforts to collect it have been exhausted.</t>
  </si>
  <si>
    <t>Total, growth rate</t>
  </si>
  <si>
    <t>Remuneration costs</t>
  </si>
  <si>
    <t>Total cost of staff salaries</t>
  </si>
  <si>
    <t>Percentage of operating costs</t>
  </si>
  <si>
    <t>Liabilities</t>
  </si>
  <si>
    <t>Funds borrowed to fund capital expenditure</t>
  </si>
  <si>
    <t>Total in Rands</t>
  </si>
  <si>
    <t>Cash position</t>
  </si>
  <si>
    <t xml:space="preserve">Cash available </t>
  </si>
  <si>
    <t>Total, number of months of available cash to cover expenditure</t>
  </si>
  <si>
    <t>Acid test ratio</t>
  </si>
  <si>
    <t xml:space="preserve">Current  assets minus inventory divided by the current liabilities </t>
  </si>
  <si>
    <t>Ratio</t>
  </si>
  <si>
    <t>Debt to income ratio</t>
  </si>
  <si>
    <t>Total liabilities of municipalities compared with their total revenue.</t>
  </si>
  <si>
    <t>Current ratio</t>
  </si>
  <si>
    <t>Current assets provide cover to meet current liabilities</t>
  </si>
  <si>
    <t>Debt ratio</t>
  </si>
  <si>
    <t>Proportion of debt municipalities have relative 
to their assets and provides and indication as to how much municipalities 
rely on debt to finance their assets</t>
  </si>
  <si>
    <t>Budget funding</t>
  </si>
  <si>
    <t>Value of shortfall between budget and income</t>
  </si>
  <si>
    <t>October (each year)</t>
  </si>
  <si>
    <t>November (each year)</t>
  </si>
  <si>
    <t>Wasteful expenditure</t>
  </si>
  <si>
    <t>Value of wasteful expenditure</t>
  </si>
  <si>
    <t>Operating expenditure</t>
  </si>
  <si>
    <t>Operating expenditures refer to expenditures related to running a city and providing services. They include bulk purchases, employee-related costs, repairs and maintenance and 'other' expenditure.</t>
  </si>
  <si>
    <t>well-governed</t>
  </si>
  <si>
    <t>State of City Finance 2015</t>
  </si>
  <si>
    <t>2yearly</t>
  </si>
  <si>
    <t xml:space="preserve">Johannesburg </t>
  </si>
  <si>
    <t xml:space="preserve">Employee related costs </t>
  </si>
  <si>
    <t>Remuneration of councillors</t>
  </si>
  <si>
    <t xml:space="preserve">Repairs and maintenance </t>
  </si>
  <si>
    <t>Bulk purchase</t>
  </si>
  <si>
    <t>other operating expenditure</t>
  </si>
  <si>
    <t>Ave annual growth</t>
  </si>
  <si>
    <t>Rep &amp; maint</t>
  </si>
  <si>
    <t>2008/2009</t>
  </si>
  <si>
    <t>2013/2014</t>
  </si>
  <si>
    <t>Cape town</t>
  </si>
  <si>
    <t>Ethekwini</t>
  </si>
  <si>
    <t>Tshwane</t>
  </si>
  <si>
    <t>Ekurhuleni</t>
  </si>
  <si>
    <t>Nelson mandela Bay</t>
  </si>
  <si>
    <t>Mangaung</t>
  </si>
  <si>
    <t>Buffalo</t>
  </si>
  <si>
    <t>Msunduzi</t>
  </si>
  <si>
    <t>Affordability of municipal bills - type A</t>
  </si>
  <si>
    <t>The affordability of municipal bills depends in part upon the rates and charges and in part upon household incomes. Type A is a household that lives in a property with an assessed value of R100,000, consumes 400kWh of electricity and 20kl of water per month, and has a 240 litre bin removed weekly</t>
  </si>
  <si>
    <t>Type A - poor household in SoCF 2015</t>
  </si>
  <si>
    <t>2014 municipal bill</t>
  </si>
  <si>
    <t>2014 benchmark income</t>
  </si>
  <si>
    <t>municipal bill as % of benchmark income 2010</t>
  </si>
  <si>
    <t>municipal bill as % of benchmark income 2014</t>
  </si>
  <si>
    <t>change in affordability since 2010</t>
  </si>
  <si>
    <t>Buffalo City</t>
  </si>
  <si>
    <t>ekurhuleni</t>
  </si>
  <si>
    <t>Nelson mandela bay</t>
  </si>
  <si>
    <t>Voter turnout- local</t>
  </si>
  <si>
    <t xml:space="preserve">Number of registered voters voted in the local elections.  </t>
  </si>
  <si>
    <t>IEC voter turnout report</t>
  </si>
  <si>
    <t>Percent 2006</t>
  </si>
  <si>
    <t>Percent 2011</t>
  </si>
  <si>
    <t>Johannesburg</t>
  </si>
  <si>
    <t>Sources of municipal revenue</t>
  </si>
  <si>
    <t>sources of municipal revenue as a percentage of city revenue, as per the state of city finance reports</t>
  </si>
  <si>
    <t>% split of revenue taken from the Citizens guide to the State of City Finances (SOCF). Full data in the SoCF</t>
  </si>
  <si>
    <t>Well governed</t>
  </si>
  <si>
    <t>City Finance</t>
  </si>
  <si>
    <t>SoCR, 2016</t>
  </si>
  <si>
    <t>Geoff Bickford</t>
  </si>
  <si>
    <t>2008/09 Revenue (Rands)</t>
  </si>
  <si>
    <t>2013/14 Revenue (Rands)</t>
  </si>
  <si>
    <t>Own Revenue</t>
  </si>
  <si>
    <t xml:space="preserve">Equitable Share </t>
  </si>
  <si>
    <t>Cape Town</t>
  </si>
  <si>
    <t>Ekhuruleni</t>
  </si>
  <si>
    <t>Nelson Mandela Bay</t>
  </si>
  <si>
    <t>Percentage Municipal expenditure</t>
  </si>
  <si>
    <t>Percentage of municipal expenditure according to audited reports that is spent on operations and maintence of city facilities, benchmarked against national treasury guidelines (source: SoCR)</t>
  </si>
  <si>
    <t>See SoCF</t>
  </si>
  <si>
    <t>SoCF (2015)</t>
  </si>
  <si>
    <t>www.sacities.net</t>
  </si>
  <si>
    <t>City level</t>
  </si>
  <si>
    <t>every 2 years in SoCR</t>
  </si>
  <si>
    <t>No</t>
  </si>
  <si>
    <t>Percentage expenditure</t>
  </si>
  <si>
    <t>%</t>
  </si>
  <si>
    <t>Employee related costs</t>
  </si>
  <si>
    <t>Bad debts</t>
  </si>
  <si>
    <t>Repairs and maintenance</t>
  </si>
  <si>
    <t>Bulk purchases</t>
  </si>
  <si>
    <t>Other operating expenditure</t>
  </si>
  <si>
    <t>No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</si>
</sst>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 * #,##0_ ;_ * \-#,##0_ ;_ * &quot;-&quot;??_ ;_ @_ "/>
    <numFmt numFmtId="165" formatCode="#,##0_ ;\-#,##0\ "/>
    <numFmt numFmtId="166" formatCode="0.0"/>
    <numFmt numFmtId="167" formatCode="&quot;R&quot;\ #,##0"/>
    <numFmt numFmtId="168" formatCode="0.0%"/>
    <numFmt numFmtId="169" formatCode="_-* #,##0_-;\-* #,##0_-;_-* &quot;-&quot;??_-;_-@_-"/>
    <numFmt numFmtId="170" formatCode="_-* #,##0.00_-;\-* #,##0.00_-;_-* &quot;-&quot;??_-;_-@_-"/>
  </numFmts>
  <fonts count="22"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color theme="1"/>
      <name val="Cambria"/>
      <family val="2"/>
      <scheme val="major"/>
    </font>
    <font>
      <b/>
      <sz val="9"/>
      <color theme="1"/>
      <name val="Webdings"/>
      <family val="1"/>
      <charset val="2"/>
    </font>
    <font>
      <sz val="9"/>
      <name val="Calibri"/>
      <family val="2"/>
      <scheme val="minor"/>
    </font>
    <font>
      <sz val="9"/>
      <color theme="1"/>
      <name val="Webdings"/>
      <family val="1"/>
      <charset val="2"/>
    </font>
    <font>
      <sz val="9"/>
      <name val="Cambria"/>
      <family val="2"/>
      <scheme val="major"/>
    </font>
    <font>
      <sz val="9"/>
      <color theme="1"/>
      <name val="Cambria"/>
      <family val="2"/>
      <scheme val="major"/>
    </font>
    <font>
      <sz val="9"/>
      <name val="Webdings"/>
      <family val="1"/>
      <charset val="2"/>
    </font>
    <font>
      <sz val="9"/>
      <color theme="2" tint="-0.249977111117893"/>
      <name val="Calibri"/>
      <family val="2"/>
      <scheme val="minor"/>
    </font>
    <font>
      <sz val="9"/>
      <color theme="2" tint="-0.249977111117893"/>
      <name val="Webdings"/>
      <family val="1"/>
      <charset val="2"/>
    </font>
    <font>
      <b/>
      <sz val="9"/>
      <name val="Calibri"/>
      <family val="2"/>
      <scheme val="minor"/>
    </font>
    <font>
      <sz val="10"/>
      <name val="Arial"/>
      <family val="2"/>
    </font>
    <font>
      <sz val="9"/>
      <color theme="0" tint="-0.34998626667073579"/>
      <name val="Calibri"/>
      <family val="2"/>
      <scheme val="minor"/>
    </font>
    <font>
      <sz val="9"/>
      <color rgb="FF0070C0"/>
      <name val="Calibri"/>
      <family val="2"/>
      <scheme val="minor"/>
    </font>
    <font>
      <u/>
      <sz val="11"/>
      <color theme="10"/>
      <name val="Calibri"/>
      <family val="2"/>
      <scheme val="minor"/>
    </font>
    <font>
      <b/>
      <sz val="9"/>
      <color indexed="81"/>
      <name val="Tahoma"/>
      <family val="2"/>
    </font>
    <font>
      <sz val="9"/>
      <color indexed="81"/>
      <name val="Tahoma"/>
      <family val="2"/>
    </font>
    <font>
      <sz val="12"/>
      <color theme="1"/>
      <name val="Calibri"/>
      <family val="2"/>
      <scheme val="minor"/>
    </font>
    <font>
      <sz val="8"/>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dashed">
        <color indexed="64"/>
      </left>
      <right/>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dotted">
        <color indexed="64"/>
      </right>
      <top/>
      <bottom/>
      <diagonal/>
    </border>
    <border>
      <left/>
      <right style="medium">
        <color indexed="64"/>
      </right>
      <top/>
      <bottom style="thin">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xf numFmtId="0" fontId="17" fillId="0" borderId="0" applyNumberFormat="0" applyFill="0" applyBorder="0" applyAlignment="0" applyProtection="0"/>
    <xf numFmtId="43" fontId="1" fillId="0" borderId="0" applyFont="0" applyFill="0" applyBorder="0" applyAlignment="0" applyProtection="0"/>
    <xf numFmtId="170" fontId="14" fillId="0" borderId="0" applyFont="0" applyFill="0" applyBorder="0" applyAlignment="0" applyProtection="0"/>
    <xf numFmtId="0" fontId="14" fillId="0" borderId="0">
      <alignment wrapText="1"/>
    </xf>
    <xf numFmtId="0" fontId="20" fillId="0" borderId="0"/>
    <xf numFmtId="0" fontId="21" fillId="0" borderId="0">
      <alignment horizontal="right"/>
    </xf>
    <xf numFmtId="0" fontId="21" fillId="0" borderId="0">
      <alignment horizontal="left" vertical="center" wrapText="1"/>
    </xf>
    <xf numFmtId="0" fontId="21" fillId="0" borderId="0">
      <alignment horizontal="right"/>
    </xf>
    <xf numFmtId="0" fontId="21" fillId="0" borderId="0">
      <alignment horizontal="right"/>
    </xf>
    <xf numFmtId="0" fontId="21" fillId="0" borderId="0">
      <alignment horizontal="right"/>
    </xf>
  </cellStyleXfs>
  <cellXfs count="231">
    <xf numFmtId="0" fontId="0" fillId="0" borderId="0" xfId="0"/>
    <xf numFmtId="0" fontId="2" fillId="0" borderId="0" xfId="0" applyFont="1" applyFill="1" applyAlignment="1">
      <alignment vertical="top"/>
    </xf>
    <xf numFmtId="0" fontId="2" fillId="0" borderId="1" xfId="0" applyFont="1" applyFill="1" applyBorder="1" applyAlignment="1">
      <alignment vertical="top"/>
    </xf>
    <xf numFmtId="0" fontId="3" fillId="2" borderId="2" xfId="0" applyFont="1" applyFill="1" applyBorder="1" applyAlignment="1">
      <alignment horizontal="centerContinuous" vertical="top"/>
    </xf>
    <xf numFmtId="0" fontId="2" fillId="2" borderId="3" xfId="0" applyFont="1" applyFill="1" applyBorder="1" applyAlignment="1">
      <alignment horizontal="centerContinuous" vertical="top"/>
    </xf>
    <xf numFmtId="0" fontId="2" fillId="2" borderId="4" xfId="0" applyFont="1" applyFill="1" applyBorder="1" applyAlignment="1">
      <alignment horizontal="centerContinuous" vertical="top"/>
    </xf>
    <xf numFmtId="0" fontId="2" fillId="0" borderId="0" xfId="0" applyFont="1" applyFill="1" applyBorder="1" applyAlignment="1">
      <alignment vertical="top"/>
    </xf>
    <xf numFmtId="0" fontId="3" fillId="3" borderId="3" xfId="0" applyFont="1" applyFill="1" applyBorder="1" applyAlignment="1">
      <alignment horizontal="center" vertical="top"/>
    </xf>
    <xf numFmtId="0" fontId="3" fillId="3" borderId="2" xfId="0" applyFont="1" applyFill="1" applyBorder="1" applyAlignment="1">
      <alignment horizontal="centerContinuous" vertical="top"/>
    </xf>
    <xf numFmtId="0" fontId="3" fillId="3" borderId="3" xfId="0" applyFont="1" applyFill="1" applyBorder="1" applyAlignment="1">
      <alignment horizontal="centerContinuous" vertical="top"/>
    </xf>
    <xf numFmtId="0" fontId="3" fillId="3" borderId="5" xfId="0" applyFont="1" applyFill="1" applyBorder="1" applyAlignment="1">
      <alignment horizontal="centerContinuous" vertical="top"/>
    </xf>
    <xf numFmtId="0" fontId="3" fillId="3" borderId="4" xfId="0" applyFont="1" applyFill="1" applyBorder="1" applyAlignment="1">
      <alignment horizontal="centerContinuous" vertical="top"/>
    </xf>
    <xf numFmtId="0" fontId="4" fillId="3" borderId="6" xfId="0" applyFont="1" applyFill="1" applyBorder="1" applyAlignment="1">
      <alignment horizontal="center" vertical="top"/>
    </xf>
    <xf numFmtId="0" fontId="3" fillId="3" borderId="7" xfId="0" applyFont="1" applyFill="1" applyBorder="1" applyAlignment="1">
      <alignment horizontal="center" vertical="top"/>
    </xf>
    <xf numFmtId="0" fontId="2" fillId="0" borderId="8" xfId="0" applyFont="1" applyBorder="1" applyAlignment="1">
      <alignment vertical="top" wrapText="1"/>
    </xf>
    <xf numFmtId="0" fontId="3" fillId="0" borderId="3"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3" xfId="0" applyFont="1" applyBorder="1" applyAlignment="1">
      <alignment horizontal="center" vertical="top" wrapText="1"/>
    </xf>
    <xf numFmtId="0" fontId="5"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0" fontId="4" fillId="4" borderId="9" xfId="0" applyFont="1" applyFill="1" applyBorder="1" applyAlignment="1">
      <alignment horizontal="center" vertical="top"/>
    </xf>
    <xf numFmtId="0" fontId="4" fillId="4" borderId="10" xfId="0" applyFont="1" applyFill="1" applyBorder="1" applyAlignment="1">
      <alignment horizontal="center" vertical="top"/>
    </xf>
    <xf numFmtId="0" fontId="4" fillId="4" borderId="11" xfId="0" applyFont="1" applyFill="1" applyBorder="1" applyAlignment="1">
      <alignment horizontal="center" vertical="top"/>
    </xf>
    <xf numFmtId="0" fontId="2" fillId="0" borderId="3" xfId="0" applyFont="1" applyBorder="1" applyAlignment="1">
      <alignment vertical="top" wrapText="1"/>
    </xf>
    <xf numFmtId="0" fontId="2" fillId="0" borderId="12" xfId="0" applyFont="1" applyBorder="1" applyAlignment="1">
      <alignment vertical="top" wrapText="1"/>
    </xf>
    <xf numFmtId="0" fontId="2" fillId="0" borderId="0" xfId="0" applyFont="1" applyAlignment="1">
      <alignment vertical="top"/>
    </xf>
    <xf numFmtId="0" fontId="2" fillId="0" borderId="0" xfId="0" applyFont="1" applyAlignment="1">
      <alignment vertical="top" wrapText="1"/>
    </xf>
    <xf numFmtId="0" fontId="2" fillId="0" borderId="9" xfId="0" applyFont="1" applyBorder="1" applyAlignment="1">
      <alignment horizontal="center" vertical="top"/>
    </xf>
    <xf numFmtId="0" fontId="6" fillId="0" borderId="10" xfId="0" applyFont="1" applyFill="1" applyBorder="1" applyAlignment="1">
      <alignmen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7" fillId="0" borderId="0"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15" xfId="0" applyFont="1" applyFill="1" applyBorder="1" applyAlignment="1">
      <alignment horizontal="center" vertical="top" wrapText="1"/>
    </xf>
    <xf numFmtId="164" fontId="8" fillId="0" borderId="3" xfId="1" applyNumberFormat="1" applyFont="1" applyFill="1" applyBorder="1" applyAlignment="1">
      <alignment vertical="top"/>
    </xf>
    <xf numFmtId="164" fontId="8" fillId="0" borderId="3" xfId="1" applyNumberFormat="1" applyFont="1" applyFill="1" applyBorder="1" applyAlignment="1">
      <alignment horizontal="right" vertical="top"/>
    </xf>
    <xf numFmtId="164" fontId="8" fillId="0" borderId="8" xfId="1" applyNumberFormat="1" applyFont="1" applyFill="1" applyBorder="1" applyAlignment="1">
      <alignment vertical="top"/>
    </xf>
    <xf numFmtId="164" fontId="8" fillId="0" borderId="7" xfId="1" applyNumberFormat="1" applyFont="1" applyFill="1" applyBorder="1" applyAlignment="1">
      <alignment horizontal="right" vertical="top"/>
    </xf>
    <xf numFmtId="164" fontId="8" fillId="0" borderId="7" xfId="1" applyNumberFormat="1" applyFont="1" applyFill="1" applyBorder="1" applyAlignment="1">
      <alignment vertical="top"/>
    </xf>
    <xf numFmtId="164" fontId="8" fillId="0" borderId="8" xfId="1" applyNumberFormat="1" applyFont="1" applyFill="1" applyBorder="1" applyAlignment="1">
      <alignment horizontal="right" vertical="top"/>
    </xf>
    <xf numFmtId="164" fontId="9" fillId="0" borderId="3" xfId="1" applyNumberFormat="1" applyFont="1" applyFill="1" applyBorder="1" applyAlignment="1">
      <alignment horizontal="center" vertical="top"/>
    </xf>
    <xf numFmtId="0" fontId="2" fillId="0" borderId="0" xfId="0" applyFont="1" applyBorder="1" applyAlignment="1">
      <alignment vertical="top"/>
    </xf>
    <xf numFmtId="0" fontId="2" fillId="0" borderId="16" xfId="0" applyFont="1" applyBorder="1" applyAlignment="1">
      <alignment vertical="top"/>
    </xf>
    <xf numFmtId="0" fontId="2" fillId="0" borderId="17" xfId="0" applyFont="1" applyBorder="1" applyAlignment="1">
      <alignment horizontal="center" vertical="top"/>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7" fillId="0" borderId="18" xfId="0" applyFont="1" applyFill="1" applyBorder="1" applyAlignment="1">
      <alignment horizontal="center" vertical="top" wrapText="1"/>
    </xf>
    <xf numFmtId="0" fontId="3" fillId="0" borderId="0" xfId="0" applyFont="1" applyBorder="1" applyAlignment="1">
      <alignment horizontal="center" vertical="top"/>
    </xf>
    <xf numFmtId="0" fontId="6" fillId="0" borderId="0" xfId="0" applyFont="1" applyFill="1" applyBorder="1" applyAlignment="1">
      <alignment horizontal="right" vertical="top" wrapText="1"/>
    </xf>
    <xf numFmtId="0" fontId="6" fillId="0" borderId="0" xfId="0" applyFont="1" applyFill="1" applyBorder="1" applyAlignment="1">
      <alignment horizontal="right" vertical="top"/>
    </xf>
    <xf numFmtId="0" fontId="10" fillId="0" borderId="0" xfId="0" applyFont="1" applyFill="1" applyBorder="1" applyAlignment="1">
      <alignment horizontal="right" vertical="top" wrapText="1"/>
    </xf>
    <xf numFmtId="0" fontId="10" fillId="0" borderId="13" xfId="0" applyFont="1" applyFill="1" applyBorder="1" applyAlignment="1">
      <alignment horizontal="right" vertical="top" wrapText="1"/>
    </xf>
    <xf numFmtId="0" fontId="10" fillId="0" borderId="14" xfId="0" applyFont="1" applyFill="1" applyBorder="1" applyAlignment="1">
      <alignment horizontal="right" vertical="top" wrapText="1"/>
    </xf>
    <xf numFmtId="0" fontId="10" fillId="0" borderId="18" xfId="0" applyFont="1" applyFill="1" applyBorder="1" applyAlignment="1">
      <alignment horizontal="right" vertical="top" wrapText="1"/>
    </xf>
    <xf numFmtId="0" fontId="6" fillId="0" borderId="0" xfId="0" applyFont="1" applyBorder="1" applyAlignment="1">
      <alignment horizontal="right" vertical="top"/>
    </xf>
    <xf numFmtId="0" fontId="6" fillId="0" borderId="0" xfId="0" applyFont="1" applyAlignment="1">
      <alignment horizontal="right" vertical="top"/>
    </xf>
    <xf numFmtId="3" fontId="6" fillId="0" borderId="0" xfId="0" applyNumberFormat="1" applyFont="1" applyBorder="1" applyAlignment="1">
      <alignment horizontal="right" vertical="top"/>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6" fillId="0" borderId="0" xfId="0" applyFont="1" applyBorder="1" applyAlignment="1">
      <alignment vertical="top"/>
    </xf>
    <xf numFmtId="0" fontId="2" fillId="0" borderId="17" xfId="0" applyFont="1" applyFill="1" applyBorder="1" applyAlignment="1">
      <alignment horizontal="center" vertical="top"/>
    </xf>
    <xf numFmtId="0" fontId="6" fillId="0" borderId="0" xfId="0" applyFont="1" applyFill="1" applyBorder="1" applyAlignment="1">
      <alignment vertical="top" wrapText="1"/>
    </xf>
    <xf numFmtId="0" fontId="2" fillId="0" borderId="16" xfId="0" applyFont="1" applyFill="1" applyBorder="1" applyAlignment="1">
      <alignment vertical="top"/>
    </xf>
    <xf numFmtId="0" fontId="11" fillId="0" borderId="0"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2" fillId="0" borderId="14" xfId="0" applyFont="1" applyFill="1" applyBorder="1" applyAlignment="1">
      <alignment horizontal="center" vertical="top" wrapText="1"/>
    </xf>
    <xf numFmtId="0" fontId="12" fillId="0" borderId="18" xfId="0" applyFont="1" applyFill="1" applyBorder="1" applyAlignment="1">
      <alignment horizontal="center" vertical="top" wrapText="1"/>
    </xf>
    <xf numFmtId="164" fontId="6" fillId="0" borderId="0" xfId="1" applyNumberFormat="1" applyFont="1" applyBorder="1" applyAlignment="1">
      <alignment horizontal="right" vertical="top"/>
    </xf>
    <xf numFmtId="164" fontId="6" fillId="0" borderId="0" xfId="1" applyNumberFormat="1" applyFont="1" applyAlignment="1">
      <alignment horizontal="right" vertical="top"/>
    </xf>
    <xf numFmtId="0" fontId="13" fillId="0" borderId="0" xfId="0" applyFont="1" applyFill="1" applyBorder="1" applyAlignment="1">
      <alignment horizontal="center" vertical="top" wrapText="1"/>
    </xf>
    <xf numFmtId="165" fontId="6" fillId="0" borderId="0" xfId="1" applyNumberFormat="1" applyFont="1" applyAlignment="1">
      <alignment horizontal="right" vertical="top"/>
    </xf>
    <xf numFmtId="165" fontId="6" fillId="0" borderId="0" xfId="1" applyNumberFormat="1" applyFont="1" applyBorder="1" applyAlignment="1">
      <alignment horizontal="right" vertical="top"/>
    </xf>
    <xf numFmtId="0" fontId="6" fillId="0" borderId="0" xfId="0" applyFont="1" applyAlignment="1">
      <alignment horizontal="right" vertical="top" wrapText="1"/>
    </xf>
    <xf numFmtId="0" fontId="13" fillId="0" borderId="0" xfId="0" applyFont="1" applyAlignment="1">
      <alignment horizontal="right" vertical="top" wrapText="1"/>
    </xf>
    <xf numFmtId="165" fontId="6" fillId="0" borderId="0" xfId="1" applyNumberFormat="1" applyFont="1" applyAlignment="1">
      <alignment horizontal="right" vertical="top" wrapText="1"/>
    </xf>
    <xf numFmtId="0" fontId="13" fillId="0" borderId="0" xfId="0" applyFont="1" applyFill="1" applyBorder="1" applyAlignment="1">
      <alignment horizontal="right" vertical="top" wrapText="1"/>
    </xf>
    <xf numFmtId="165" fontId="13" fillId="0" borderId="0" xfId="0" applyNumberFormat="1" applyFont="1" applyAlignment="1">
      <alignment horizontal="right" vertical="top"/>
    </xf>
    <xf numFmtId="0" fontId="3" fillId="0" borderId="19"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3" fillId="3" borderId="7"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4" borderId="7" xfId="0" applyFont="1" applyFill="1" applyBorder="1" applyAlignment="1">
      <alignment horizontal="center" vertical="top"/>
    </xf>
    <xf numFmtId="0" fontId="3" fillId="4" borderId="6" xfId="0" applyFont="1" applyFill="1" applyBorder="1" applyAlignment="1">
      <alignment horizontal="center" vertical="top"/>
    </xf>
    <xf numFmtId="0" fontId="2" fillId="0" borderId="0" xfId="0" applyFont="1" applyAlignment="1">
      <alignment horizontal="right" vertical="top"/>
    </xf>
    <xf numFmtId="2" fontId="2" fillId="0" borderId="10" xfId="0" applyNumberFormat="1" applyFont="1" applyFill="1" applyBorder="1" applyAlignment="1">
      <alignment vertical="top" wrapText="1"/>
    </xf>
    <xf numFmtId="2" fontId="2" fillId="0" borderId="11" xfId="0" applyNumberFormat="1" applyFont="1" applyFill="1" applyBorder="1" applyAlignment="1">
      <alignment vertical="top" wrapText="1"/>
    </xf>
    <xf numFmtId="2" fontId="2" fillId="0" borderId="0" xfId="0" applyNumberFormat="1" applyFont="1" applyFill="1" applyAlignment="1">
      <alignment vertical="top" wrapText="1"/>
    </xf>
    <xf numFmtId="2" fontId="2" fillId="0" borderId="9" xfId="0" applyNumberFormat="1" applyFont="1" applyFill="1" applyBorder="1" applyAlignment="1">
      <alignment vertical="top" wrapText="1"/>
    </xf>
    <xf numFmtId="2" fontId="2" fillId="0" borderId="0" xfId="0" applyNumberFormat="1" applyFont="1" applyBorder="1" applyAlignment="1">
      <alignment vertical="top"/>
    </xf>
    <xf numFmtId="0" fontId="2" fillId="0" borderId="0" xfId="0" applyFont="1" applyFill="1" applyAlignment="1">
      <alignment horizontal="right" vertical="top"/>
    </xf>
    <xf numFmtId="2" fontId="2" fillId="0" borderId="0" xfId="0" applyNumberFormat="1" applyFont="1" applyFill="1" applyBorder="1" applyAlignment="1">
      <alignment vertical="top" wrapText="1"/>
    </xf>
    <xf numFmtId="2" fontId="2" fillId="0" borderId="16" xfId="0" applyNumberFormat="1" applyFont="1" applyFill="1" applyBorder="1" applyAlignment="1">
      <alignment vertical="top" wrapText="1"/>
    </xf>
    <xf numFmtId="2" fontId="2" fillId="0" borderId="17" xfId="0" applyNumberFormat="1" applyFont="1" applyFill="1" applyBorder="1" applyAlignment="1">
      <alignment vertical="top" wrapText="1"/>
    </xf>
    <xf numFmtId="0" fontId="6" fillId="0" borderId="0" xfId="0" applyFont="1" applyFill="1" applyAlignment="1">
      <alignment horizontal="right" vertical="top"/>
    </xf>
    <xf numFmtId="2" fontId="2" fillId="0" borderId="1" xfId="0" applyNumberFormat="1" applyFont="1" applyFill="1" applyBorder="1" applyAlignment="1">
      <alignment vertical="top" wrapText="1"/>
    </xf>
    <xf numFmtId="2" fontId="2" fillId="0" borderId="12" xfId="0" applyNumberFormat="1" applyFont="1" applyFill="1" applyBorder="1" applyAlignment="1">
      <alignment vertical="top" wrapText="1"/>
    </xf>
    <xf numFmtId="2" fontId="2" fillId="0" borderId="20" xfId="0" applyNumberFormat="1" applyFont="1" applyFill="1" applyBorder="1" applyAlignment="1">
      <alignment vertical="top" wrapText="1"/>
    </xf>
    <xf numFmtId="0" fontId="3" fillId="3" borderId="7" xfId="0" applyFont="1" applyFill="1" applyBorder="1" applyAlignment="1">
      <alignment horizontal="center" vertical="top"/>
    </xf>
    <xf numFmtId="0" fontId="3" fillId="3" borderId="6" xfId="0" applyFont="1" applyFill="1" applyBorder="1" applyAlignment="1">
      <alignment horizontal="center" vertical="top"/>
    </xf>
    <xf numFmtId="4" fontId="2" fillId="0" borderId="0" xfId="0" applyNumberFormat="1" applyFont="1" applyFill="1" applyAlignment="1">
      <alignment vertical="top"/>
    </xf>
    <xf numFmtId="4" fontId="2" fillId="0" borderId="11" xfId="0" applyNumberFormat="1" applyFont="1" applyFill="1" applyBorder="1" applyAlignment="1">
      <alignment vertical="top"/>
    </xf>
    <xf numFmtId="4" fontId="2" fillId="0" borderId="0" xfId="0" applyNumberFormat="1" applyFont="1" applyBorder="1" applyAlignment="1">
      <alignment vertical="top"/>
    </xf>
    <xf numFmtId="4" fontId="2" fillId="0" borderId="16" xfId="0" applyNumberFormat="1" applyFont="1" applyFill="1" applyBorder="1" applyAlignment="1">
      <alignment vertical="top"/>
    </xf>
    <xf numFmtId="4" fontId="2" fillId="0" borderId="0" xfId="0" applyNumberFormat="1" applyFont="1" applyFill="1" applyAlignment="1">
      <alignment vertical="top" wrapText="1"/>
    </xf>
    <xf numFmtId="0" fontId="2" fillId="0" borderId="16" xfId="0" applyFont="1" applyFill="1" applyBorder="1" applyAlignment="1">
      <alignment vertical="top" wrapText="1"/>
    </xf>
    <xf numFmtId="0" fontId="3" fillId="0" borderId="17" xfId="0" applyFont="1" applyBorder="1" applyAlignment="1">
      <alignment vertical="top"/>
    </xf>
    <xf numFmtId="0" fontId="3" fillId="0" borderId="0" xfId="0" applyFont="1" applyBorder="1" applyAlignment="1">
      <alignment vertical="top"/>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7" xfId="0" applyFont="1" applyFill="1" applyBorder="1" applyAlignment="1">
      <alignment vertical="top" wrapText="1"/>
    </xf>
    <xf numFmtId="0" fontId="3" fillId="3" borderId="8" xfId="0" applyFont="1" applyFill="1" applyBorder="1" applyAlignment="1">
      <alignment vertical="top" wrapText="1"/>
    </xf>
    <xf numFmtId="0" fontId="3" fillId="3" borderId="8" xfId="0" applyFont="1" applyFill="1" applyBorder="1" applyAlignment="1">
      <alignment horizontal="center" vertical="top" wrapText="1"/>
    </xf>
    <xf numFmtId="0" fontId="3" fillId="3" borderId="3" xfId="0" applyFont="1" applyFill="1" applyBorder="1" applyAlignment="1">
      <alignment horizontal="center" vertical="top" wrapText="1"/>
    </xf>
    <xf numFmtId="166" fontId="2" fillId="0" borderId="0" xfId="0" applyNumberFormat="1" applyFont="1" applyFill="1" applyAlignment="1">
      <alignment vertical="top" wrapText="1"/>
    </xf>
    <xf numFmtId="166" fontId="2" fillId="0" borderId="11" xfId="0" applyNumberFormat="1" applyFont="1" applyFill="1" applyBorder="1" applyAlignment="1">
      <alignment vertical="top" wrapText="1"/>
    </xf>
    <xf numFmtId="166" fontId="2" fillId="0" borderId="0" xfId="0" applyNumberFormat="1" applyFont="1" applyBorder="1" applyAlignment="1">
      <alignment vertical="top"/>
    </xf>
    <xf numFmtId="166" fontId="2" fillId="0" borderId="16" xfId="0" applyNumberFormat="1" applyFont="1" applyFill="1" applyBorder="1" applyAlignment="1">
      <alignment vertical="top" wrapText="1"/>
    </xf>
    <xf numFmtId="166" fontId="2" fillId="0" borderId="16" xfId="0" applyNumberFormat="1" applyFont="1" applyBorder="1" applyAlignment="1">
      <alignment vertical="top"/>
    </xf>
    <xf numFmtId="0" fontId="2" fillId="3" borderId="8" xfId="0" applyFont="1" applyFill="1" applyBorder="1" applyAlignment="1">
      <alignment horizontal="center" vertical="top"/>
    </xf>
    <xf numFmtId="0" fontId="11" fillId="3" borderId="3" xfId="0" applyFont="1" applyFill="1" applyBorder="1" applyAlignment="1">
      <alignment vertical="top"/>
    </xf>
    <xf numFmtId="0" fontId="11" fillId="3" borderId="3" xfId="0" applyFont="1" applyFill="1" applyBorder="1" applyAlignment="1">
      <alignment horizontal="left" vertical="top" wrapText="1"/>
    </xf>
    <xf numFmtId="0" fontId="11" fillId="3" borderId="3" xfId="0" applyFont="1" applyFill="1" applyBorder="1" applyAlignment="1">
      <alignment horizontal="left" vertical="top"/>
    </xf>
    <xf numFmtId="0" fontId="7" fillId="3" borderId="3"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4" xfId="0" applyFont="1" applyFill="1" applyBorder="1" applyAlignment="1">
      <alignment horizontal="center" vertical="top" wrapText="1"/>
    </xf>
    <xf numFmtId="0" fontId="2" fillId="3" borderId="3" xfId="0" applyFont="1" applyFill="1" applyBorder="1" applyAlignment="1">
      <alignment horizontal="center" vertical="top"/>
    </xf>
    <xf numFmtId="0" fontId="2" fillId="3" borderId="3" xfId="0" applyFont="1" applyFill="1" applyBorder="1" applyAlignment="1">
      <alignment vertical="top"/>
    </xf>
    <xf numFmtId="0" fontId="2" fillId="3" borderId="7" xfId="0" applyFont="1" applyFill="1" applyBorder="1" applyAlignment="1">
      <alignment vertical="top"/>
    </xf>
    <xf numFmtId="0" fontId="11" fillId="0" borderId="0" xfId="0" applyFont="1" applyFill="1" applyBorder="1" applyAlignment="1">
      <alignment vertical="top"/>
    </xf>
    <xf numFmtId="0" fontId="2" fillId="0" borderId="17" xfId="0" applyFont="1" applyBorder="1" applyAlignment="1">
      <alignment vertical="top"/>
    </xf>
    <xf numFmtId="0" fontId="11" fillId="0" borderId="0" xfId="0" applyFont="1" applyFill="1" applyBorder="1" applyAlignment="1">
      <alignment horizontal="right" vertical="top"/>
    </xf>
    <xf numFmtId="0" fontId="11" fillId="0" borderId="17" xfId="0" applyFont="1" applyFill="1" applyBorder="1" applyAlignment="1">
      <alignment horizontal="right" vertical="top"/>
    </xf>
    <xf numFmtId="0" fontId="6" fillId="0" borderId="0" xfId="0" applyFont="1" applyFill="1" applyBorder="1" applyAlignment="1">
      <alignment vertical="top"/>
    </xf>
    <xf numFmtId="0" fontId="2" fillId="0" borderId="17" xfId="0" applyFont="1" applyFill="1" applyBorder="1" applyAlignment="1">
      <alignment vertical="top"/>
    </xf>
    <xf numFmtId="0" fontId="6" fillId="3" borderId="3" xfId="0" applyFont="1" applyFill="1" applyBorder="1" applyAlignment="1">
      <alignment vertical="top"/>
    </xf>
    <xf numFmtId="0" fontId="6" fillId="3" borderId="3" xfId="0" applyFont="1" applyFill="1" applyBorder="1" applyAlignment="1">
      <alignment horizontal="left" vertical="top" wrapText="1"/>
    </xf>
    <xf numFmtId="0" fontId="6" fillId="3" borderId="3" xfId="0" applyFont="1" applyFill="1" applyBorder="1" applyAlignment="1">
      <alignment horizontal="left" vertical="top"/>
    </xf>
    <xf numFmtId="0" fontId="3" fillId="3" borderId="8" xfId="0" applyFont="1" applyFill="1" applyBorder="1" applyAlignment="1">
      <alignment horizontal="center" vertical="top"/>
    </xf>
    <xf numFmtId="49" fontId="3" fillId="3" borderId="3" xfId="0" applyNumberFormat="1" applyFont="1" applyFill="1" applyBorder="1" applyAlignment="1">
      <alignment horizontal="center" vertical="top"/>
    </xf>
    <xf numFmtId="0" fontId="2" fillId="0" borderId="0" xfId="0" applyFont="1" applyBorder="1" applyAlignment="1">
      <alignment horizontal="right" vertical="top"/>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17"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Fill="1" applyBorder="1" applyAlignment="1">
      <alignment horizontal="center" vertical="top" wrapText="1"/>
    </xf>
    <xf numFmtId="0" fontId="3" fillId="4" borderId="0" xfId="0" applyFont="1" applyFill="1" applyBorder="1" applyAlignment="1">
      <alignment horizontal="center" vertical="top"/>
    </xf>
    <xf numFmtId="10" fontId="6" fillId="0" borderId="0" xfId="3" applyNumberFormat="1" applyFont="1" applyBorder="1" applyAlignment="1">
      <alignment vertical="top"/>
    </xf>
    <xf numFmtId="10" fontId="2" fillId="0" borderId="0" xfId="2" applyNumberFormat="1" applyFont="1" applyAlignment="1">
      <alignment vertical="top"/>
    </xf>
    <xf numFmtId="0" fontId="2" fillId="0" borderId="1" xfId="0" applyFont="1" applyBorder="1" applyAlignment="1">
      <alignment vertical="top"/>
    </xf>
    <xf numFmtId="0" fontId="3" fillId="3" borderId="3" xfId="0" applyFont="1" applyFill="1" applyBorder="1" applyAlignment="1">
      <alignment horizontal="left" vertical="top" wrapText="1"/>
    </xf>
    <xf numFmtId="0" fontId="3" fillId="3" borderId="3" xfId="0" applyFont="1" applyFill="1" applyBorder="1" applyAlignment="1">
      <alignment horizontal="left"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9" xfId="0" applyFont="1" applyFill="1" applyBorder="1" applyAlignment="1">
      <alignment horizontal="center" vertical="top"/>
    </xf>
    <xf numFmtId="0" fontId="3" fillId="3" borderId="10" xfId="0" applyFont="1" applyFill="1" applyBorder="1" applyAlignment="1">
      <alignment horizontal="center" vertical="top"/>
    </xf>
    <xf numFmtId="0" fontId="3" fillId="3" borderId="11" xfId="0" applyFont="1" applyFill="1" applyBorder="1" applyAlignment="1">
      <alignment horizontal="center" vertical="top"/>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4" borderId="8" xfId="0" applyFont="1" applyFill="1" applyBorder="1" applyAlignment="1">
      <alignment horizontal="center" vertical="top"/>
    </xf>
    <xf numFmtId="49" fontId="3" fillId="4" borderId="3" xfId="0" applyNumberFormat="1" applyFont="1" applyFill="1" applyBorder="1" applyAlignment="1">
      <alignment horizontal="center" vertical="top"/>
    </xf>
    <xf numFmtId="49" fontId="3" fillId="4" borderId="7" xfId="0" applyNumberFormat="1" applyFont="1" applyFill="1" applyBorder="1" applyAlignment="1">
      <alignment horizontal="center" vertical="top"/>
    </xf>
    <xf numFmtId="0" fontId="3" fillId="4" borderId="3" xfId="0" applyFont="1" applyFill="1" applyBorder="1" applyAlignment="1">
      <alignment horizontal="center" vertical="top"/>
    </xf>
    <xf numFmtId="167" fontId="2" fillId="0" borderId="17" xfId="0" applyNumberFormat="1" applyFont="1" applyBorder="1" applyAlignment="1">
      <alignment vertical="top"/>
    </xf>
    <xf numFmtId="167" fontId="2" fillId="0" borderId="0" xfId="0" applyNumberFormat="1" applyFont="1" applyBorder="1" applyAlignment="1">
      <alignment vertical="top"/>
    </xf>
    <xf numFmtId="167" fontId="2" fillId="0" borderId="16" xfId="0" applyNumberFormat="1" applyFont="1" applyBorder="1" applyAlignment="1">
      <alignment vertical="top"/>
    </xf>
    <xf numFmtId="0" fontId="11" fillId="0" borderId="17" xfId="0" applyFont="1" applyBorder="1" applyAlignment="1">
      <alignment vertical="top"/>
    </xf>
    <xf numFmtId="0" fontId="11" fillId="0" borderId="0" xfId="0" applyFont="1" applyBorder="1" applyAlignment="1">
      <alignment vertical="top"/>
    </xf>
    <xf numFmtId="0" fontId="11" fillId="0" borderId="16" xfId="0" applyFont="1" applyBorder="1" applyAlignment="1">
      <alignment vertical="top"/>
    </xf>
    <xf numFmtId="167" fontId="15" fillId="0" borderId="0" xfId="0" applyNumberFormat="1" applyFont="1" applyBorder="1" applyAlignment="1">
      <alignment vertical="top"/>
    </xf>
    <xf numFmtId="167" fontId="11" fillId="0" borderId="0" xfId="0" applyNumberFormat="1" applyFont="1" applyBorder="1" applyAlignment="1">
      <alignment vertical="top"/>
    </xf>
    <xf numFmtId="167" fontId="11" fillId="0" borderId="16" xfId="0" applyNumberFormat="1" applyFont="1" applyBorder="1" applyAlignment="1">
      <alignment vertical="top"/>
    </xf>
    <xf numFmtId="167" fontId="15" fillId="0" borderId="16" xfId="0" applyNumberFormat="1" applyFont="1" applyBorder="1" applyAlignment="1">
      <alignment vertical="top"/>
    </xf>
    <xf numFmtId="167" fontId="15" fillId="0" borderId="17" xfId="0" applyNumberFormat="1" applyFont="1" applyBorder="1" applyAlignment="1">
      <alignment vertical="top"/>
    </xf>
    <xf numFmtId="167" fontId="16" fillId="0" borderId="0" xfId="0" applyNumberFormat="1" applyFont="1" applyBorder="1" applyAlignment="1">
      <alignment vertical="top"/>
    </xf>
    <xf numFmtId="167" fontId="16" fillId="0" borderId="16" xfId="0" applyNumberFormat="1" applyFont="1" applyBorder="1" applyAlignment="1">
      <alignment vertical="top"/>
    </xf>
    <xf numFmtId="167" fontId="16" fillId="0" borderId="17" xfId="0" applyNumberFormat="1" applyFont="1" applyBorder="1" applyAlignment="1">
      <alignment vertical="top"/>
    </xf>
    <xf numFmtId="0" fontId="11" fillId="0" borderId="17" xfId="0" applyFont="1" applyFill="1" applyBorder="1" applyAlignment="1">
      <alignment vertical="top"/>
    </xf>
    <xf numFmtId="0" fontId="11" fillId="0" borderId="16" xfId="0" applyFont="1" applyFill="1" applyBorder="1" applyAlignment="1">
      <alignment vertical="top"/>
    </xf>
    <xf numFmtId="167" fontId="11" fillId="0" borderId="17" xfId="0" applyNumberFormat="1" applyFont="1" applyBorder="1" applyAlignment="1">
      <alignment vertical="top"/>
    </xf>
    <xf numFmtId="0" fontId="15" fillId="0" borderId="0" xfId="0" applyFont="1" applyFill="1" applyBorder="1" applyAlignment="1">
      <alignment horizontal="left" vertical="top" wrapText="1"/>
    </xf>
    <xf numFmtId="4" fontId="2" fillId="0" borderId="17" xfId="0" applyNumberFormat="1" applyFont="1" applyBorder="1" applyAlignment="1">
      <alignment vertical="top"/>
    </xf>
    <xf numFmtId="4" fontId="2" fillId="0" borderId="16" xfId="0" applyNumberFormat="1" applyFont="1" applyBorder="1" applyAlignment="1">
      <alignment vertical="top"/>
    </xf>
    <xf numFmtId="167" fontId="6" fillId="0" borderId="0" xfId="0" applyNumberFormat="1" applyFont="1" applyBorder="1" applyAlignment="1">
      <alignment vertical="top"/>
    </xf>
    <xf numFmtId="167" fontId="6" fillId="0" borderId="16" xfId="0" applyNumberFormat="1" applyFont="1" applyBorder="1" applyAlignment="1">
      <alignment vertical="top"/>
    </xf>
    <xf numFmtId="167" fontId="6" fillId="0" borderId="17" xfId="0" applyNumberFormat="1" applyFont="1" applyBorder="1" applyAlignment="1">
      <alignment vertical="top"/>
    </xf>
    <xf numFmtId="0" fontId="6" fillId="0" borderId="0" xfId="0" applyFont="1" applyFill="1" applyBorder="1" applyAlignment="1">
      <alignment horizontal="left" vertical="top"/>
    </xf>
    <xf numFmtId="0" fontId="2" fillId="0" borderId="18" xfId="0" applyFont="1" applyBorder="1" applyAlignment="1">
      <alignment vertical="top"/>
    </xf>
    <xf numFmtId="0" fontId="2" fillId="0" borderId="21" xfId="0" applyFont="1" applyBorder="1" applyAlignment="1">
      <alignment vertical="top"/>
    </xf>
    <xf numFmtId="0" fontId="13" fillId="0" borderId="3" xfId="0" applyFont="1" applyFill="1" applyBorder="1" applyAlignment="1">
      <alignment vertical="top"/>
    </xf>
    <xf numFmtId="0" fontId="13" fillId="0" borderId="3" xfId="0" applyFont="1" applyFill="1" applyBorder="1" applyAlignment="1">
      <alignment horizontal="right" vertical="top"/>
    </xf>
    <xf numFmtId="0" fontId="13" fillId="0" borderId="7" xfId="0" applyFont="1" applyFill="1" applyBorder="1" applyAlignment="1">
      <alignment horizontal="right" vertical="top"/>
    </xf>
    <xf numFmtId="0" fontId="13" fillId="0" borderId="6" xfId="0" applyFont="1" applyFill="1" applyBorder="1" applyAlignment="1">
      <alignment horizontal="right" vertical="top"/>
    </xf>
    <xf numFmtId="0" fontId="13" fillId="0" borderId="6" xfId="0" applyFont="1" applyFill="1" applyBorder="1" applyAlignment="1">
      <alignment vertical="top"/>
    </xf>
    <xf numFmtId="0" fontId="13" fillId="0" borderId="7" xfId="0" applyFont="1" applyFill="1" applyBorder="1" applyAlignment="1">
      <alignment vertical="top"/>
    </xf>
    <xf numFmtId="10" fontId="2" fillId="0" borderId="0" xfId="0" applyNumberFormat="1" applyFont="1" applyBorder="1" applyAlignment="1">
      <alignment vertical="top"/>
    </xf>
    <xf numFmtId="0" fontId="2" fillId="0" borderId="0" xfId="0" applyFont="1" applyAlignment="1">
      <alignment horizontal="left" vertical="top"/>
    </xf>
    <xf numFmtId="10" fontId="2" fillId="0" borderId="0" xfId="0" applyNumberFormat="1" applyFont="1" applyAlignment="1">
      <alignment vertical="top"/>
    </xf>
    <xf numFmtId="0" fontId="13" fillId="0" borderId="0" xfId="0" applyFont="1" applyFill="1" applyBorder="1" applyAlignment="1">
      <alignment horizontal="center" vertical="top"/>
    </xf>
    <xf numFmtId="0" fontId="2" fillId="0" borderId="0" xfId="0" applyFont="1" applyFill="1" applyAlignment="1">
      <alignment horizontal="left" vertical="top"/>
    </xf>
    <xf numFmtId="0" fontId="2" fillId="0" borderId="18" xfId="0" applyFont="1" applyFill="1" applyBorder="1" applyAlignment="1">
      <alignment vertical="top"/>
    </xf>
    <xf numFmtId="0" fontId="2" fillId="0" borderId="21" xfId="0" applyFont="1" applyFill="1" applyBorder="1" applyAlignment="1">
      <alignment vertical="top"/>
    </xf>
    <xf numFmtId="0" fontId="13" fillId="0" borderId="0" xfId="0" applyFont="1" applyFill="1" applyBorder="1" applyAlignment="1">
      <alignment horizontal="right" vertical="top"/>
    </xf>
    <xf numFmtId="9" fontId="2" fillId="0" borderId="0" xfId="0" applyNumberFormat="1" applyFont="1" applyAlignment="1">
      <alignment vertical="top"/>
    </xf>
    <xf numFmtId="0" fontId="2" fillId="0" borderId="0" xfId="0" applyFont="1" applyAlignment="1">
      <alignment horizontal="left" vertical="top" wrapText="1"/>
    </xf>
    <xf numFmtId="0" fontId="13" fillId="0" borderId="8" xfId="0" applyFont="1" applyFill="1" applyBorder="1" applyAlignment="1">
      <alignment horizontal="right" vertical="top"/>
    </xf>
    <xf numFmtId="0" fontId="13" fillId="0" borderId="3" xfId="0" applyFont="1" applyFill="1" applyBorder="1" applyAlignment="1">
      <alignment vertical="top" wrapText="1"/>
    </xf>
    <xf numFmtId="10" fontId="6" fillId="0" borderId="0" xfId="2" applyNumberFormat="1" applyFont="1" applyFill="1" applyBorder="1" applyAlignment="1">
      <alignment vertical="top"/>
    </xf>
    <xf numFmtId="10" fontId="6" fillId="0" borderId="0" xfId="0" applyNumberFormat="1" applyFont="1" applyFill="1" applyBorder="1" applyAlignment="1">
      <alignment vertical="top"/>
    </xf>
    <xf numFmtId="10" fontId="6" fillId="0" borderId="0" xfId="2" applyNumberFormat="1" applyFont="1" applyAlignment="1">
      <alignment vertical="top"/>
    </xf>
    <xf numFmtId="9" fontId="2" fillId="0" borderId="3" xfId="0" applyNumberFormat="1" applyFont="1" applyBorder="1" applyAlignment="1">
      <alignment vertical="top"/>
    </xf>
    <xf numFmtId="0" fontId="2" fillId="0" borderId="3" xfId="0" applyFont="1" applyBorder="1" applyAlignment="1">
      <alignment vertical="top"/>
    </xf>
    <xf numFmtId="0" fontId="4" fillId="4" borderId="19" xfId="0" quotePrefix="1" applyFont="1" applyFill="1" applyBorder="1" applyAlignment="1">
      <alignment horizontal="center" vertical="top"/>
    </xf>
    <xf numFmtId="0" fontId="4" fillId="4" borderId="1" xfId="0" quotePrefix="1" applyFont="1" applyFill="1" applyBorder="1" applyAlignment="1">
      <alignment horizontal="center" vertical="top"/>
    </xf>
    <xf numFmtId="0" fontId="4" fillId="4" borderId="22" xfId="0" quotePrefix="1" applyFont="1" applyFill="1" applyBorder="1" applyAlignment="1">
      <alignment horizontal="center" vertical="top"/>
    </xf>
    <xf numFmtId="0" fontId="4" fillId="4" borderId="2" xfId="0" quotePrefix="1" applyFont="1" applyFill="1" applyBorder="1" applyAlignment="1">
      <alignment horizontal="center" vertical="top"/>
    </xf>
    <xf numFmtId="0" fontId="4" fillId="4" borderId="3" xfId="0" quotePrefix="1" applyFont="1" applyFill="1" applyBorder="1" applyAlignment="1">
      <alignment horizontal="center" vertical="top"/>
    </xf>
    <xf numFmtId="0" fontId="4" fillId="4" borderId="4" xfId="0" quotePrefix="1" applyFont="1" applyFill="1" applyBorder="1" applyAlignment="1">
      <alignment horizontal="center" vertical="top"/>
    </xf>
    <xf numFmtId="168" fontId="2" fillId="0" borderId="0" xfId="0" applyNumberFormat="1" applyFont="1" applyAlignment="1">
      <alignment vertical="top"/>
    </xf>
    <xf numFmtId="169" fontId="2" fillId="0" borderId="0" xfId="0" applyNumberFormat="1" applyFont="1" applyAlignment="1">
      <alignment vertical="top"/>
    </xf>
    <xf numFmtId="0" fontId="17" fillId="0" borderId="0" xfId="4" applyAlignment="1">
      <alignment vertical="top"/>
    </xf>
    <xf numFmtId="0" fontId="4" fillId="4" borderId="17" xfId="0" applyFont="1" applyFill="1" applyBorder="1" applyAlignment="1">
      <alignment horizontal="center" vertical="top"/>
    </xf>
    <xf numFmtId="0" fontId="4" fillId="4" borderId="0" xfId="0" applyFont="1" applyFill="1" applyBorder="1" applyAlignment="1">
      <alignment horizontal="center" vertical="top"/>
    </xf>
  </cellXfs>
  <cellStyles count="14">
    <cellStyle name="Comma" xfId="1" builtinId="3"/>
    <cellStyle name="Comma 2" xfId="5"/>
    <cellStyle name="Comma 2 2" xfId="6"/>
    <cellStyle name="Hyperlink" xfId="4" builtinId="8"/>
    <cellStyle name="Normal" xfId="0" builtinId="0"/>
    <cellStyle name="Normal 2" xfId="3"/>
    <cellStyle name="Normal 3" xfId="7"/>
    <cellStyle name="Normal 4" xfId="8"/>
    <cellStyle name="Percent" xfId="2" builtinId="5"/>
    <cellStyle name="Style3" xfId="9"/>
    <cellStyle name="Style4" xfId="10"/>
    <cellStyle name="Style5" xfId="11"/>
    <cellStyle name="Style7" xfId="12"/>
    <cellStyle name="Style7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63</xdr:col>
      <xdr:colOff>57150</xdr:colOff>
      <xdr:row>0</xdr:row>
      <xdr:rowOff>0</xdr:rowOff>
    </xdr:from>
    <xdr:to>
      <xdr:col>65</xdr:col>
      <xdr:colOff>60211</xdr:colOff>
      <xdr:row>3</xdr:row>
      <xdr:rowOff>29092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523600" y="0"/>
          <a:ext cx="1527061" cy="638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cities.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233"/>
  <sheetViews>
    <sheetView tabSelected="1" zoomScaleNormal="100" zoomScalePageLayoutView="10" workbookViewId="0">
      <pane xSplit="2" ySplit="3" topLeftCell="Q4" activePane="bottomRight" state="frozen"/>
      <selection pane="topRight" activeCell="C1" sqref="C1"/>
      <selection pane="bottomLeft" activeCell="A11" sqref="A11"/>
      <selection pane="bottomRight" activeCell="Q12" sqref="Q12"/>
    </sheetView>
  </sheetViews>
  <sheetFormatPr defaultRowHeight="12" outlineLevelCol="1" x14ac:dyDescent="0.25"/>
  <cols>
    <col min="1" max="1" width="3" style="27" bestFit="1" customWidth="1"/>
    <col min="2" max="2" width="50.85546875" style="27" bestFit="1" customWidth="1"/>
    <col min="3" max="3" width="49" style="27" customWidth="1"/>
    <col min="4" max="4" width="20.85546875" style="27" customWidth="1" outlineLevel="1"/>
    <col min="5" max="5" width="19" style="27" customWidth="1" outlineLevel="1"/>
    <col min="6" max="6" width="20.42578125" style="27" customWidth="1" outlineLevel="1"/>
    <col min="7" max="7" width="16.140625" style="27" customWidth="1" outlineLevel="1"/>
    <col min="8" max="8" width="10.7109375" style="27" customWidth="1" outlineLevel="1"/>
    <col min="9" max="9" width="32.7109375" style="27" customWidth="1"/>
    <col min="10" max="10" width="33" style="27" customWidth="1" outlineLevel="1"/>
    <col min="11" max="11" width="18.5703125" style="27" customWidth="1"/>
    <col min="12" max="12" width="18.7109375" style="27" customWidth="1" outlineLevel="1"/>
    <col min="13" max="13" width="15.7109375" style="27" customWidth="1" outlineLevel="1"/>
    <col min="14" max="14" width="18.140625" style="27" customWidth="1" outlineLevel="1"/>
    <col min="15" max="15" width="19.85546875" style="27" customWidth="1" outlineLevel="1"/>
    <col min="16" max="16" width="33.140625" style="27" customWidth="1" outlineLevel="1"/>
    <col min="17" max="17" width="30.28515625" style="27" customWidth="1"/>
    <col min="18" max="18" width="26.7109375" style="27" customWidth="1"/>
    <col min="19" max="19" width="65.42578125" style="27" customWidth="1"/>
    <col min="20" max="20" width="11" style="27" customWidth="1" outlineLevel="1"/>
    <col min="21" max="25" width="9.7109375" style="27" customWidth="1"/>
    <col min="26" max="26" width="23.28515625" style="27" customWidth="1"/>
    <col min="27" max="27" width="33.28515625" style="27" customWidth="1"/>
    <col min="28" max="28" width="34.42578125" style="27" customWidth="1"/>
    <col min="29" max="29" width="19.5703125" style="27" customWidth="1"/>
    <col min="30" max="30" width="20.85546875" style="27" customWidth="1"/>
    <col min="31" max="31" width="24.42578125" style="27" customWidth="1"/>
    <col min="32" max="32" width="28.7109375" style="27" customWidth="1"/>
    <col min="33" max="33" width="16.5703125" style="27" bestFit="1" customWidth="1"/>
    <col min="34" max="34" width="19.42578125" style="27" customWidth="1"/>
    <col min="35" max="35" width="14.42578125" style="27" customWidth="1"/>
    <col min="36" max="66" width="11.42578125" style="27" customWidth="1"/>
    <col min="67" max="16384" width="9.140625" style="27"/>
  </cols>
  <sheetData>
    <row r="1" spans="1:67" s="1" customFormat="1" x14ac:dyDescent="0.25">
      <c r="T1" s="2"/>
      <c r="U1" s="3" t="s">
        <v>0</v>
      </c>
      <c r="V1" s="4"/>
      <c r="W1" s="4"/>
      <c r="X1" s="4"/>
      <c r="Y1" s="4"/>
      <c r="Z1" s="5"/>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6"/>
      <c r="BJ1" s="6"/>
      <c r="BK1" s="6"/>
      <c r="BL1" s="6"/>
      <c r="BM1" s="6"/>
      <c r="BN1" s="6"/>
    </row>
    <row r="2" spans="1:67" s="1" customFormat="1" x14ac:dyDescent="0.25">
      <c r="A2" s="7"/>
      <c r="B2" s="7"/>
      <c r="C2" s="7"/>
      <c r="D2" s="7"/>
      <c r="E2" s="7"/>
      <c r="F2" s="7"/>
      <c r="G2" s="7"/>
      <c r="H2" s="7"/>
      <c r="I2" s="7"/>
      <c r="J2" s="7"/>
      <c r="K2" s="7"/>
      <c r="L2" s="7"/>
      <c r="M2" s="7"/>
      <c r="N2" s="7"/>
      <c r="O2" s="7"/>
      <c r="P2" s="7"/>
      <c r="Q2" s="7"/>
      <c r="R2" s="7"/>
      <c r="S2" s="7"/>
      <c r="T2" s="7"/>
      <c r="U2" s="8" t="s">
        <v>1</v>
      </c>
      <c r="V2" s="9"/>
      <c r="W2" s="9"/>
      <c r="X2" s="10" t="s">
        <v>2</v>
      </c>
      <c r="Y2" s="9"/>
      <c r="Z2" s="11"/>
      <c r="AA2" s="12" t="s">
        <v>3</v>
      </c>
      <c r="AB2" s="12"/>
      <c r="AC2" s="12"/>
      <c r="AD2" s="12"/>
      <c r="AE2" s="12" t="s">
        <v>4</v>
      </c>
      <c r="AF2" s="12"/>
      <c r="AG2" s="12"/>
      <c r="AH2" s="12"/>
      <c r="AI2" s="12" t="s">
        <v>5</v>
      </c>
      <c r="AJ2" s="12"/>
      <c r="AK2" s="12"/>
      <c r="AL2" s="12"/>
      <c r="AM2" s="12" t="s">
        <v>6</v>
      </c>
      <c r="AN2" s="12"/>
      <c r="AO2" s="12"/>
      <c r="AP2" s="12"/>
      <c r="AQ2" s="12" t="s">
        <v>7</v>
      </c>
      <c r="AR2" s="12"/>
      <c r="AS2" s="12"/>
      <c r="AT2" s="12"/>
      <c r="AU2" s="12" t="s">
        <v>8</v>
      </c>
      <c r="AV2" s="12"/>
      <c r="AW2" s="12"/>
      <c r="AX2" s="12"/>
      <c r="AY2" s="12" t="s">
        <v>9</v>
      </c>
      <c r="AZ2" s="12"/>
      <c r="BA2" s="12"/>
      <c r="BB2" s="12"/>
      <c r="BC2" s="12" t="s">
        <v>10</v>
      </c>
      <c r="BD2" s="12"/>
      <c r="BE2" s="12"/>
      <c r="BF2" s="12"/>
      <c r="BG2" s="7"/>
      <c r="BH2" s="7"/>
      <c r="BI2" s="7"/>
      <c r="BJ2" s="7"/>
      <c r="BK2" s="7"/>
      <c r="BL2" s="7"/>
      <c r="BM2" s="7"/>
      <c r="BN2" s="13"/>
    </row>
    <row r="3" spans="1:67" s="28" customFormat="1" ht="24" x14ac:dyDescent="0.25">
      <c r="A3" s="14"/>
      <c r="B3" s="15"/>
      <c r="C3" s="15" t="s">
        <v>11</v>
      </c>
      <c r="D3" s="15" t="s">
        <v>12</v>
      </c>
      <c r="E3" s="15" t="s">
        <v>13</v>
      </c>
      <c r="F3" s="15" t="s">
        <v>14</v>
      </c>
      <c r="G3" s="15" t="s">
        <v>15</v>
      </c>
      <c r="H3" s="15" t="s">
        <v>16</v>
      </c>
      <c r="I3" s="15" t="s">
        <v>17</v>
      </c>
      <c r="J3" s="15" t="s">
        <v>18</v>
      </c>
      <c r="K3" s="15" t="s">
        <v>19</v>
      </c>
      <c r="L3" s="15" t="s">
        <v>20</v>
      </c>
      <c r="M3" s="15" t="s">
        <v>21</v>
      </c>
      <c r="N3" s="15" t="s">
        <v>22</v>
      </c>
      <c r="O3" s="16" t="s">
        <v>23</v>
      </c>
      <c r="P3" s="15" t="s">
        <v>24</v>
      </c>
      <c r="Q3" s="17" t="s">
        <v>25</v>
      </c>
      <c r="R3" s="17" t="s">
        <v>26</v>
      </c>
      <c r="S3" s="17" t="s">
        <v>12</v>
      </c>
      <c r="T3" s="18"/>
      <c r="U3" s="19" t="s">
        <v>27</v>
      </c>
      <c r="V3" s="17" t="s">
        <v>28</v>
      </c>
      <c r="W3" s="17" t="s">
        <v>29</v>
      </c>
      <c r="X3" s="20" t="s">
        <v>30</v>
      </c>
      <c r="Y3" s="17" t="s">
        <v>28</v>
      </c>
      <c r="Z3" s="21" t="s">
        <v>31</v>
      </c>
      <c r="AA3" s="22">
        <v>2009</v>
      </c>
      <c r="AB3" s="23">
        <v>2010</v>
      </c>
      <c r="AC3" s="23">
        <v>2012</v>
      </c>
      <c r="AD3" s="24">
        <v>2013</v>
      </c>
      <c r="AE3" s="23">
        <v>2009</v>
      </c>
      <c r="AF3" s="23">
        <v>2010</v>
      </c>
      <c r="AG3" s="23">
        <v>2012</v>
      </c>
      <c r="AH3" s="24">
        <v>2013</v>
      </c>
      <c r="AI3" s="23">
        <v>2009</v>
      </c>
      <c r="AJ3" s="23">
        <v>2010</v>
      </c>
      <c r="AK3" s="23">
        <v>2012</v>
      </c>
      <c r="AL3" s="24">
        <v>2013</v>
      </c>
      <c r="AM3" s="23">
        <v>2009</v>
      </c>
      <c r="AN3" s="23">
        <v>2010</v>
      </c>
      <c r="AO3" s="23">
        <v>2012</v>
      </c>
      <c r="AP3" s="24">
        <v>2013</v>
      </c>
      <c r="AQ3" s="23">
        <v>2009</v>
      </c>
      <c r="AR3" s="23">
        <v>2010</v>
      </c>
      <c r="AS3" s="23">
        <v>2012</v>
      </c>
      <c r="AT3" s="24">
        <v>2013</v>
      </c>
      <c r="AU3" s="23">
        <v>2009</v>
      </c>
      <c r="AV3" s="23">
        <v>2010</v>
      </c>
      <c r="AW3" s="23">
        <v>2012</v>
      </c>
      <c r="AX3" s="24">
        <v>2013</v>
      </c>
      <c r="AY3" s="23">
        <v>2009</v>
      </c>
      <c r="AZ3" s="23">
        <v>2010</v>
      </c>
      <c r="BA3" s="23">
        <v>2012</v>
      </c>
      <c r="BB3" s="24">
        <v>2013</v>
      </c>
      <c r="BC3" s="23">
        <v>2009</v>
      </c>
      <c r="BD3" s="23">
        <v>2010</v>
      </c>
      <c r="BE3" s="23">
        <v>2012</v>
      </c>
      <c r="BF3" s="24">
        <v>2013</v>
      </c>
      <c r="BG3" s="25"/>
      <c r="BH3" s="25"/>
      <c r="BI3" s="25"/>
      <c r="BJ3" s="25"/>
      <c r="BK3" s="25"/>
      <c r="BL3" s="25"/>
      <c r="BM3" s="25"/>
      <c r="BN3" s="26"/>
      <c r="BO3" s="27"/>
    </row>
    <row r="4" spans="1:67" ht="15.75" x14ac:dyDescent="0.25">
      <c r="A4" s="29">
        <v>1</v>
      </c>
      <c r="B4" s="30" t="s">
        <v>32</v>
      </c>
      <c r="C4" s="31" t="s">
        <v>33</v>
      </c>
      <c r="D4" s="32"/>
      <c r="E4" s="32" t="s">
        <v>34</v>
      </c>
      <c r="F4" s="32" t="s">
        <v>35</v>
      </c>
      <c r="G4" s="32"/>
      <c r="H4" s="32" t="s">
        <v>36</v>
      </c>
      <c r="I4" s="31" t="s">
        <v>37</v>
      </c>
      <c r="J4" s="31" t="s">
        <v>38</v>
      </c>
      <c r="K4" s="31" t="s">
        <v>39</v>
      </c>
      <c r="L4" s="32" t="s">
        <v>40</v>
      </c>
      <c r="M4" s="32"/>
      <c r="N4" s="32" t="s">
        <v>41</v>
      </c>
      <c r="O4" s="32" t="s">
        <v>42</v>
      </c>
      <c r="P4" s="32"/>
      <c r="Q4" s="31" t="s">
        <v>43</v>
      </c>
      <c r="R4" s="31"/>
      <c r="S4" s="31" t="s">
        <v>44</v>
      </c>
      <c r="T4" s="33" t="s">
        <v>45</v>
      </c>
      <c r="U4" s="34" t="s">
        <v>45</v>
      </c>
      <c r="V4" s="33"/>
      <c r="W4" s="33"/>
      <c r="X4" s="35"/>
      <c r="Y4" s="33"/>
      <c r="Z4" s="36"/>
      <c r="AA4" s="37">
        <v>40</v>
      </c>
      <c r="AB4" s="37">
        <v>546</v>
      </c>
      <c r="AC4" s="38">
        <v>5</v>
      </c>
      <c r="AD4" s="38">
        <v>1</v>
      </c>
      <c r="AE4" s="39">
        <v>66</v>
      </c>
      <c r="AF4" s="37">
        <v>69</v>
      </c>
      <c r="AG4" s="38">
        <v>1</v>
      </c>
      <c r="AH4" s="40">
        <v>16</v>
      </c>
      <c r="AI4" s="37">
        <v>75</v>
      </c>
      <c r="AJ4" s="37">
        <v>24</v>
      </c>
      <c r="AK4" s="38">
        <v>0</v>
      </c>
      <c r="AL4" s="38">
        <v>0</v>
      </c>
      <c r="AM4" s="39">
        <v>0</v>
      </c>
      <c r="AN4" s="37">
        <v>0</v>
      </c>
      <c r="AO4" s="37">
        <v>0</v>
      </c>
      <c r="AP4" s="41">
        <v>0</v>
      </c>
      <c r="AQ4" s="37">
        <v>89</v>
      </c>
      <c r="AR4" s="37">
        <v>81</v>
      </c>
      <c r="AS4" s="38">
        <v>34</v>
      </c>
      <c r="AT4" s="38">
        <v>98</v>
      </c>
      <c r="AU4" s="42">
        <v>3</v>
      </c>
      <c r="AV4" s="38">
        <v>0</v>
      </c>
      <c r="AW4" s="38">
        <v>0</v>
      </c>
      <c r="AX4" s="40">
        <v>0</v>
      </c>
      <c r="AY4" s="43">
        <v>0</v>
      </c>
      <c r="AZ4" s="43">
        <v>0</v>
      </c>
      <c r="BA4" s="43">
        <v>3</v>
      </c>
      <c r="BB4" s="43">
        <v>3</v>
      </c>
      <c r="BC4" s="39">
        <v>20</v>
      </c>
      <c r="BD4" s="37">
        <v>18</v>
      </c>
      <c r="BE4" s="38">
        <v>3</v>
      </c>
      <c r="BF4" s="40">
        <v>0</v>
      </c>
      <c r="BG4" s="44"/>
      <c r="BH4" s="44"/>
      <c r="BI4" s="44"/>
      <c r="BJ4" s="44"/>
      <c r="BK4" s="44"/>
      <c r="BL4" s="44"/>
      <c r="BM4" s="44"/>
      <c r="BN4" s="45"/>
    </row>
    <row r="5" spans="1:67" ht="15.75" x14ac:dyDescent="0.25">
      <c r="A5" s="46">
        <v>2</v>
      </c>
      <c r="B5" s="47" t="s">
        <v>46</v>
      </c>
      <c r="C5" s="47" t="s">
        <v>47</v>
      </c>
      <c r="D5" s="48" t="s">
        <v>48</v>
      </c>
      <c r="E5" s="48" t="s">
        <v>34</v>
      </c>
      <c r="F5" s="48" t="s">
        <v>35</v>
      </c>
      <c r="G5" s="48"/>
      <c r="H5" s="48" t="s">
        <v>49</v>
      </c>
      <c r="I5" s="47" t="s">
        <v>37</v>
      </c>
      <c r="J5" s="47" t="s">
        <v>38</v>
      </c>
      <c r="K5" s="47" t="s">
        <v>39</v>
      </c>
      <c r="L5" s="48" t="s">
        <v>40</v>
      </c>
      <c r="M5" s="48"/>
      <c r="N5" s="48" t="s">
        <v>41</v>
      </c>
      <c r="O5" s="48" t="s">
        <v>42</v>
      </c>
      <c r="P5" s="48"/>
      <c r="Q5" s="47" t="s">
        <v>43</v>
      </c>
      <c r="R5" s="47"/>
      <c r="S5" s="31" t="s">
        <v>44</v>
      </c>
      <c r="T5" s="33" t="s">
        <v>45</v>
      </c>
      <c r="U5" s="34" t="s">
        <v>45</v>
      </c>
      <c r="V5" s="33"/>
      <c r="W5" s="33"/>
      <c r="X5" s="35"/>
      <c r="Y5" s="33"/>
      <c r="Z5" s="49"/>
      <c r="AA5" s="50"/>
      <c r="AB5" s="50"/>
      <c r="AC5" s="50"/>
      <c r="AD5" s="50"/>
      <c r="AE5" s="50"/>
      <c r="AF5" s="50"/>
      <c r="AG5" s="50"/>
      <c r="AH5" s="50"/>
      <c r="AI5" s="50"/>
      <c r="AJ5" s="50"/>
      <c r="AK5" s="50"/>
      <c r="AL5" s="50"/>
      <c r="AM5" s="50"/>
      <c r="AN5" s="50"/>
      <c r="AO5" s="50"/>
      <c r="AP5" s="50"/>
      <c r="AQ5" s="50"/>
      <c r="AR5" s="50"/>
      <c r="AS5" s="50"/>
      <c r="AT5" s="50"/>
      <c r="AU5" s="50"/>
      <c r="AV5" s="50"/>
      <c r="AW5" s="50"/>
      <c r="AX5" s="50"/>
      <c r="AY5" s="44"/>
      <c r="AZ5" s="44"/>
      <c r="BA5" s="44"/>
      <c r="BB5" s="44"/>
      <c r="BC5" s="44"/>
      <c r="BD5" s="44"/>
      <c r="BE5" s="44"/>
      <c r="BF5" s="44"/>
      <c r="BG5" s="44"/>
      <c r="BH5" s="44"/>
      <c r="BI5" s="44"/>
      <c r="BJ5" s="44"/>
      <c r="BK5" s="44"/>
      <c r="BL5" s="44"/>
      <c r="BM5" s="44"/>
      <c r="BN5" s="45"/>
    </row>
    <row r="6" spans="1:67" ht="15.75" x14ac:dyDescent="0.25">
      <c r="A6" s="46"/>
      <c r="B6" s="51" t="s">
        <v>50</v>
      </c>
      <c r="C6" s="51"/>
      <c r="D6" s="52"/>
      <c r="E6" s="52"/>
      <c r="F6" s="52"/>
      <c r="G6" s="52"/>
      <c r="H6" s="52"/>
      <c r="I6" s="51"/>
      <c r="J6" s="51"/>
      <c r="K6" s="51"/>
      <c r="L6" s="52"/>
      <c r="M6" s="52"/>
      <c r="N6" s="52"/>
      <c r="O6" s="52"/>
      <c r="P6" s="52"/>
      <c r="Q6" s="51"/>
      <c r="R6" s="51"/>
      <c r="S6" s="51"/>
      <c r="T6" s="53"/>
      <c r="U6" s="54"/>
      <c r="V6" s="53"/>
      <c r="W6" s="53"/>
      <c r="X6" s="55"/>
      <c r="Y6" s="53"/>
      <c r="Z6" s="56"/>
      <c r="AA6" s="57"/>
      <c r="AB6" s="57"/>
      <c r="AC6" s="57">
        <v>83</v>
      </c>
      <c r="AD6" s="57">
        <v>211</v>
      </c>
      <c r="AE6" s="57"/>
      <c r="AF6" s="57"/>
      <c r="AG6" s="57">
        <v>0</v>
      </c>
      <c r="AH6" s="57">
        <v>0</v>
      </c>
      <c r="AI6" s="57"/>
      <c r="AJ6" s="57"/>
      <c r="AK6" s="57">
        <v>182</v>
      </c>
      <c r="AL6" s="57">
        <v>215</v>
      </c>
      <c r="AM6" s="57"/>
      <c r="AN6" s="57"/>
      <c r="AO6" s="57">
        <v>0</v>
      </c>
      <c r="AP6" s="57">
        <v>284</v>
      </c>
      <c r="AQ6" s="57"/>
      <c r="AR6" s="57"/>
      <c r="AS6" s="57">
        <v>214</v>
      </c>
      <c r="AT6" s="57">
        <v>232</v>
      </c>
      <c r="AU6" s="57"/>
      <c r="AV6" s="57"/>
      <c r="AW6" s="58">
        <v>0</v>
      </c>
      <c r="AX6" s="57">
        <v>0</v>
      </c>
      <c r="AY6" s="57"/>
      <c r="AZ6" s="57"/>
      <c r="BA6" s="57">
        <v>77</v>
      </c>
      <c r="BB6" s="57">
        <v>73</v>
      </c>
      <c r="BC6" s="57"/>
      <c r="BD6" s="57"/>
      <c r="BE6" s="57">
        <v>157</v>
      </c>
      <c r="BF6" s="57">
        <v>264</v>
      </c>
      <c r="BG6" s="44"/>
      <c r="BH6" s="44"/>
      <c r="BI6" s="44"/>
      <c r="BJ6" s="44"/>
      <c r="BK6" s="44"/>
      <c r="BL6" s="44"/>
      <c r="BM6" s="44"/>
      <c r="BN6" s="45"/>
    </row>
    <row r="7" spans="1:67" ht="15.75" x14ac:dyDescent="0.25">
      <c r="A7" s="46"/>
      <c r="B7" s="51" t="s">
        <v>51</v>
      </c>
      <c r="C7" s="51"/>
      <c r="D7" s="52"/>
      <c r="E7" s="52"/>
      <c r="F7" s="52"/>
      <c r="G7" s="52"/>
      <c r="H7" s="52"/>
      <c r="I7" s="51"/>
      <c r="J7" s="51"/>
      <c r="K7" s="51"/>
      <c r="L7" s="52"/>
      <c r="M7" s="52"/>
      <c r="N7" s="52"/>
      <c r="O7" s="52"/>
      <c r="P7" s="52"/>
      <c r="Q7" s="51"/>
      <c r="R7" s="51"/>
      <c r="S7" s="51"/>
      <c r="T7" s="53"/>
      <c r="U7" s="54"/>
      <c r="V7" s="53"/>
      <c r="W7" s="53"/>
      <c r="X7" s="55"/>
      <c r="Y7" s="53"/>
      <c r="Z7" s="56"/>
      <c r="AA7" s="57"/>
      <c r="AB7" s="57"/>
      <c r="AC7" s="57">
        <v>246</v>
      </c>
      <c r="AD7" s="57">
        <v>147</v>
      </c>
      <c r="AE7" s="57"/>
      <c r="AF7" s="57"/>
      <c r="AG7" s="57">
        <v>116</v>
      </c>
      <c r="AH7" s="57">
        <v>2057</v>
      </c>
      <c r="AI7" s="57"/>
      <c r="AJ7" s="57"/>
      <c r="AK7" s="57">
        <v>407</v>
      </c>
      <c r="AL7" s="57">
        <v>471</v>
      </c>
      <c r="AM7" s="57"/>
      <c r="AN7" s="57"/>
      <c r="AO7" s="57">
        <v>0</v>
      </c>
      <c r="AP7" s="57">
        <v>1127</v>
      </c>
      <c r="AQ7" s="57"/>
      <c r="AR7" s="57"/>
      <c r="AS7" s="57">
        <v>296</v>
      </c>
      <c r="AT7" s="57">
        <v>398</v>
      </c>
      <c r="AU7" s="57"/>
      <c r="AV7" s="57"/>
      <c r="AW7" s="58">
        <v>159</v>
      </c>
      <c r="AX7" s="57">
        <v>0</v>
      </c>
      <c r="AY7" s="57"/>
      <c r="AZ7" s="57"/>
      <c r="BA7" s="57">
        <v>95</v>
      </c>
      <c r="BB7" s="57">
        <v>104</v>
      </c>
      <c r="BC7" s="57"/>
      <c r="BD7" s="57"/>
      <c r="BE7" s="57">
        <v>364</v>
      </c>
      <c r="BF7" s="57">
        <v>423</v>
      </c>
      <c r="BG7" s="44"/>
      <c r="BH7" s="44"/>
      <c r="BI7" s="44"/>
      <c r="BJ7" s="44"/>
      <c r="BK7" s="44"/>
      <c r="BL7" s="44"/>
      <c r="BM7" s="44"/>
      <c r="BN7" s="45"/>
    </row>
    <row r="8" spans="1:67" ht="15.75" x14ac:dyDescent="0.25">
      <c r="A8" s="46"/>
      <c r="B8" s="51" t="s">
        <v>52</v>
      </c>
      <c r="C8" s="51"/>
      <c r="D8" s="52"/>
      <c r="E8" s="52"/>
      <c r="F8" s="52"/>
      <c r="G8" s="52"/>
      <c r="H8" s="52"/>
      <c r="I8" s="51"/>
      <c r="J8" s="51"/>
      <c r="K8" s="51"/>
      <c r="L8" s="52"/>
      <c r="M8" s="52"/>
      <c r="N8" s="52"/>
      <c r="O8" s="52"/>
      <c r="P8" s="52"/>
      <c r="Q8" s="51"/>
      <c r="R8" s="51"/>
      <c r="S8" s="51"/>
      <c r="T8" s="53"/>
      <c r="U8" s="54"/>
      <c r="V8" s="53"/>
      <c r="W8" s="53"/>
      <c r="X8" s="55"/>
      <c r="Y8" s="53"/>
      <c r="Z8" s="56"/>
      <c r="AA8" s="57"/>
      <c r="AB8" s="57"/>
      <c r="AC8" s="59">
        <v>1647</v>
      </c>
      <c r="AD8" s="59">
        <v>1932</v>
      </c>
      <c r="AE8" s="57"/>
      <c r="AF8" s="57"/>
      <c r="AG8" s="57">
        <v>121</v>
      </c>
      <c r="AH8" s="57">
        <v>25</v>
      </c>
      <c r="AI8" s="57"/>
      <c r="AJ8" s="57"/>
      <c r="AK8" s="57">
        <v>255</v>
      </c>
      <c r="AL8" s="57">
        <v>241</v>
      </c>
      <c r="AM8" s="57"/>
      <c r="AN8" s="57"/>
      <c r="AO8" s="57">
        <v>0</v>
      </c>
      <c r="AP8" s="57">
        <v>419</v>
      </c>
      <c r="AQ8" s="57"/>
      <c r="AR8" s="57"/>
      <c r="AS8" s="57">
        <v>183</v>
      </c>
      <c r="AT8" s="57">
        <v>194</v>
      </c>
      <c r="AU8" s="57"/>
      <c r="AV8" s="57"/>
      <c r="AW8" s="58">
        <v>146</v>
      </c>
      <c r="AX8" s="57">
        <v>0</v>
      </c>
      <c r="AY8" s="57"/>
      <c r="AZ8" s="57"/>
      <c r="BA8" s="57">
        <v>54</v>
      </c>
      <c r="BB8" s="57">
        <v>53</v>
      </c>
      <c r="BC8" s="57"/>
      <c r="BD8" s="57"/>
      <c r="BE8" s="57">
        <v>202</v>
      </c>
      <c r="BF8" s="57">
        <v>199</v>
      </c>
      <c r="BG8" s="44"/>
      <c r="BH8" s="44"/>
      <c r="BI8" s="44"/>
      <c r="BJ8" s="44"/>
      <c r="BK8" s="44"/>
      <c r="BL8" s="44"/>
      <c r="BM8" s="44"/>
      <c r="BN8" s="45"/>
    </row>
    <row r="9" spans="1:67" ht="15.75" x14ac:dyDescent="0.25">
      <c r="A9" s="46"/>
      <c r="B9" s="51" t="s">
        <v>53</v>
      </c>
      <c r="C9" s="51"/>
      <c r="D9" s="52"/>
      <c r="E9" s="52"/>
      <c r="F9" s="52"/>
      <c r="G9" s="52"/>
      <c r="H9" s="52"/>
      <c r="I9" s="51"/>
      <c r="J9" s="51"/>
      <c r="K9" s="51"/>
      <c r="L9" s="52"/>
      <c r="M9" s="52"/>
      <c r="N9" s="52"/>
      <c r="O9" s="52"/>
      <c r="P9" s="52"/>
      <c r="Q9" s="51"/>
      <c r="R9" s="51"/>
      <c r="S9" s="51"/>
      <c r="T9" s="53"/>
      <c r="U9" s="54"/>
      <c r="V9" s="53"/>
      <c r="W9" s="53"/>
      <c r="X9" s="55"/>
      <c r="Y9" s="53"/>
      <c r="Z9" s="56"/>
      <c r="AA9" s="57"/>
      <c r="AB9" s="57"/>
      <c r="AC9" s="57">
        <v>159</v>
      </c>
      <c r="AD9" s="57">
        <v>25</v>
      </c>
      <c r="AE9" s="57"/>
      <c r="AF9" s="57"/>
      <c r="AG9" s="57">
        <v>17</v>
      </c>
      <c r="AH9" s="57">
        <v>27</v>
      </c>
      <c r="AI9" s="57"/>
      <c r="AJ9" s="57"/>
      <c r="AK9" s="57">
        <v>29</v>
      </c>
      <c r="AL9" s="57">
        <v>57</v>
      </c>
      <c r="AM9" s="57"/>
      <c r="AN9" s="57"/>
      <c r="AO9" s="57">
        <v>0</v>
      </c>
      <c r="AP9" s="57">
        <v>4</v>
      </c>
      <c r="AQ9" s="57"/>
      <c r="AR9" s="57"/>
      <c r="AS9" s="57">
        <v>20</v>
      </c>
      <c r="AT9" s="57">
        <v>20</v>
      </c>
      <c r="AU9" s="57"/>
      <c r="AV9" s="57"/>
      <c r="AW9" s="58">
        <v>0</v>
      </c>
      <c r="AX9" s="57">
        <v>0</v>
      </c>
      <c r="AY9" s="57"/>
      <c r="AZ9" s="57"/>
      <c r="BA9" s="57">
        <v>0</v>
      </c>
      <c r="BB9" s="57">
        <v>0</v>
      </c>
      <c r="BC9" s="57"/>
      <c r="BD9" s="57"/>
      <c r="BE9" s="57">
        <v>47</v>
      </c>
      <c r="BF9" s="57">
        <v>45</v>
      </c>
      <c r="BG9" s="44"/>
      <c r="BH9" s="44"/>
      <c r="BI9" s="44"/>
      <c r="BJ9" s="44"/>
      <c r="BK9" s="44"/>
      <c r="BL9" s="44"/>
      <c r="BM9" s="44"/>
      <c r="BN9" s="45"/>
    </row>
    <row r="10" spans="1:67" ht="15.75" x14ac:dyDescent="0.25">
      <c r="A10" s="46"/>
      <c r="B10" s="51" t="s">
        <v>54</v>
      </c>
      <c r="C10" s="51"/>
      <c r="D10" s="52"/>
      <c r="E10" s="52"/>
      <c r="F10" s="52"/>
      <c r="G10" s="52"/>
      <c r="H10" s="52"/>
      <c r="I10" s="51"/>
      <c r="J10" s="51"/>
      <c r="K10" s="51"/>
      <c r="L10" s="52"/>
      <c r="M10" s="52"/>
      <c r="N10" s="52"/>
      <c r="O10" s="52"/>
      <c r="P10" s="52"/>
      <c r="Q10" s="51"/>
      <c r="R10" s="51"/>
      <c r="S10" s="51"/>
      <c r="T10" s="53"/>
      <c r="U10" s="54"/>
      <c r="V10" s="53"/>
      <c r="W10" s="53"/>
      <c r="X10" s="55"/>
      <c r="Y10" s="53"/>
      <c r="Z10" s="56"/>
      <c r="AA10" s="57"/>
      <c r="AB10" s="57"/>
      <c r="AC10" s="57">
        <v>42</v>
      </c>
      <c r="AD10" s="57">
        <v>4</v>
      </c>
      <c r="AE10" s="57"/>
      <c r="AF10" s="57"/>
      <c r="AG10" s="57">
        <v>41</v>
      </c>
      <c r="AH10" s="57">
        <v>145</v>
      </c>
      <c r="AI10" s="57"/>
      <c r="AJ10" s="57"/>
      <c r="AK10" s="57">
        <v>77</v>
      </c>
      <c r="AL10" s="57">
        <v>102</v>
      </c>
      <c r="AM10" s="57"/>
      <c r="AN10" s="57"/>
      <c r="AO10" s="57">
        <v>0</v>
      </c>
      <c r="AP10" s="57">
        <v>250</v>
      </c>
      <c r="AQ10" s="57"/>
      <c r="AR10" s="57"/>
      <c r="AS10" s="57">
        <v>86</v>
      </c>
      <c r="AT10" s="57">
        <v>83</v>
      </c>
      <c r="AU10" s="57"/>
      <c r="AV10" s="57"/>
      <c r="AW10" s="58">
        <v>194</v>
      </c>
      <c r="AX10" s="57">
        <v>0</v>
      </c>
      <c r="AY10" s="57"/>
      <c r="AZ10" s="57"/>
      <c r="BA10" s="57">
        <v>8</v>
      </c>
      <c r="BB10" s="57">
        <v>3</v>
      </c>
      <c r="BC10" s="57"/>
      <c r="BD10" s="57"/>
      <c r="BE10" s="57">
        <v>31</v>
      </c>
      <c r="BF10" s="57">
        <v>30</v>
      </c>
      <c r="BG10" s="44"/>
      <c r="BH10" s="44"/>
      <c r="BI10" s="44"/>
      <c r="BJ10" s="44"/>
      <c r="BK10" s="44"/>
      <c r="BL10" s="44"/>
      <c r="BM10" s="44"/>
      <c r="BN10" s="45"/>
    </row>
    <row r="11" spans="1:67" ht="15.75" x14ac:dyDescent="0.25">
      <c r="A11" s="46"/>
      <c r="B11" s="51" t="s">
        <v>55</v>
      </c>
      <c r="C11" s="51"/>
      <c r="D11" s="52"/>
      <c r="E11" s="52"/>
      <c r="F11" s="52"/>
      <c r="G11" s="52"/>
      <c r="H11" s="52"/>
      <c r="I11" s="51"/>
      <c r="J11" s="51"/>
      <c r="K11" s="51"/>
      <c r="L11" s="52"/>
      <c r="M11" s="52"/>
      <c r="N11" s="52"/>
      <c r="O11" s="52"/>
      <c r="P11" s="52"/>
      <c r="Q11" s="51"/>
      <c r="R11" s="51"/>
      <c r="S11" s="51"/>
      <c r="T11" s="53"/>
      <c r="U11" s="54"/>
      <c r="V11" s="53"/>
      <c r="W11" s="53"/>
      <c r="X11" s="55"/>
      <c r="Y11" s="53"/>
      <c r="Z11" s="56"/>
      <c r="AA11" s="57"/>
      <c r="AB11" s="57"/>
      <c r="AC11" s="57">
        <v>82</v>
      </c>
      <c r="AD11" s="57">
        <v>1</v>
      </c>
      <c r="AE11" s="57"/>
      <c r="AF11" s="57"/>
      <c r="AG11" s="57">
        <v>94</v>
      </c>
      <c r="AH11" s="57">
        <v>2607</v>
      </c>
      <c r="AI11" s="57"/>
      <c r="AJ11" s="57"/>
      <c r="AK11" s="57">
        <v>208</v>
      </c>
      <c r="AL11" s="57">
        <v>363</v>
      </c>
      <c r="AM11" s="57"/>
      <c r="AN11" s="57"/>
      <c r="AO11" s="57">
        <v>0</v>
      </c>
      <c r="AP11" s="57">
        <v>303</v>
      </c>
      <c r="AQ11" s="57"/>
      <c r="AR11" s="57"/>
      <c r="AS11" s="57">
        <v>428</v>
      </c>
      <c r="AT11" s="57">
        <v>359</v>
      </c>
      <c r="AU11" s="57"/>
      <c r="AV11" s="57"/>
      <c r="AW11" s="58">
        <v>119</v>
      </c>
      <c r="AX11" s="57">
        <v>0</v>
      </c>
      <c r="AY11" s="57"/>
      <c r="AZ11" s="57"/>
      <c r="BA11" s="57">
        <v>37</v>
      </c>
      <c r="BB11" s="57">
        <v>28</v>
      </c>
      <c r="BC11" s="57"/>
      <c r="BD11" s="57"/>
      <c r="BE11" s="57">
        <v>236</v>
      </c>
      <c r="BF11" s="57">
        <v>254</v>
      </c>
      <c r="BG11" s="44"/>
      <c r="BH11" s="44"/>
      <c r="BI11" s="44"/>
      <c r="BJ11" s="44"/>
      <c r="BK11" s="44"/>
      <c r="BL11" s="44"/>
      <c r="BM11" s="44"/>
      <c r="BN11" s="45"/>
    </row>
    <row r="12" spans="1:67" ht="15.75" x14ac:dyDescent="0.25">
      <c r="A12" s="46"/>
      <c r="B12" s="51" t="s">
        <v>56</v>
      </c>
      <c r="C12" s="51"/>
      <c r="D12" s="52"/>
      <c r="E12" s="52"/>
      <c r="F12" s="52"/>
      <c r="G12" s="52"/>
      <c r="H12" s="52"/>
      <c r="I12" s="51"/>
      <c r="J12" s="51"/>
      <c r="K12" s="51"/>
      <c r="L12" s="52"/>
      <c r="M12" s="52"/>
      <c r="N12" s="52"/>
      <c r="O12" s="52"/>
      <c r="P12" s="52"/>
      <c r="Q12" s="51"/>
      <c r="R12" s="51"/>
      <c r="S12" s="51"/>
      <c r="T12" s="53"/>
      <c r="U12" s="54"/>
      <c r="V12" s="53"/>
      <c r="W12" s="53"/>
      <c r="X12" s="55"/>
      <c r="Y12" s="53"/>
      <c r="Z12" s="56"/>
      <c r="AA12" s="57"/>
      <c r="AB12" s="57"/>
      <c r="AC12" s="57">
        <v>141</v>
      </c>
      <c r="AD12" s="57">
        <v>648</v>
      </c>
      <c r="AE12" s="57"/>
      <c r="AF12" s="57"/>
      <c r="AG12" s="57">
        <v>89</v>
      </c>
      <c r="AH12" s="57">
        <v>0</v>
      </c>
      <c r="AI12" s="57"/>
      <c r="AJ12" s="57"/>
      <c r="AK12" s="57">
        <v>259</v>
      </c>
      <c r="AL12" s="57">
        <v>212</v>
      </c>
      <c r="AM12" s="57"/>
      <c r="AN12" s="57"/>
      <c r="AO12" s="57">
        <v>0</v>
      </c>
      <c r="AP12" s="57">
        <v>77</v>
      </c>
      <c r="AQ12" s="57"/>
      <c r="AR12" s="57"/>
      <c r="AS12" s="57">
        <v>206</v>
      </c>
      <c r="AT12" s="57">
        <v>253</v>
      </c>
      <c r="AU12" s="57"/>
      <c r="AV12" s="57"/>
      <c r="AW12" s="58">
        <v>0</v>
      </c>
      <c r="AX12" s="57">
        <v>0</v>
      </c>
      <c r="AY12" s="57"/>
      <c r="AZ12" s="57"/>
      <c r="BA12" s="57">
        <v>8</v>
      </c>
      <c r="BB12" s="57">
        <v>8</v>
      </c>
      <c r="BC12" s="57"/>
      <c r="BD12" s="57"/>
      <c r="BE12" s="57">
        <v>158</v>
      </c>
      <c r="BF12" s="57">
        <v>185</v>
      </c>
      <c r="BG12" s="44"/>
      <c r="BH12" s="44"/>
      <c r="BI12" s="44"/>
      <c r="BJ12" s="44"/>
      <c r="BK12" s="44"/>
      <c r="BL12" s="44"/>
      <c r="BM12" s="44"/>
      <c r="BN12" s="45"/>
    </row>
    <row r="13" spans="1:67" ht="15.75" x14ac:dyDescent="0.25">
      <c r="A13" s="46"/>
      <c r="B13" s="51" t="s">
        <v>57</v>
      </c>
      <c r="C13" s="51"/>
      <c r="D13" s="52"/>
      <c r="E13" s="52"/>
      <c r="F13" s="52"/>
      <c r="G13" s="52"/>
      <c r="H13" s="52"/>
      <c r="I13" s="51"/>
      <c r="J13" s="51"/>
      <c r="K13" s="51"/>
      <c r="L13" s="52"/>
      <c r="M13" s="52"/>
      <c r="N13" s="52"/>
      <c r="O13" s="52"/>
      <c r="P13" s="52"/>
      <c r="Q13" s="51"/>
      <c r="R13" s="51"/>
      <c r="S13" s="51"/>
      <c r="T13" s="53"/>
      <c r="U13" s="54"/>
      <c r="V13" s="53"/>
      <c r="W13" s="53"/>
      <c r="X13" s="55"/>
      <c r="Y13" s="53"/>
      <c r="Z13" s="56"/>
      <c r="AA13" s="57"/>
      <c r="AB13" s="57"/>
      <c r="AC13" s="57">
        <v>276</v>
      </c>
      <c r="AD13" s="57">
        <v>276</v>
      </c>
      <c r="AE13" s="57"/>
      <c r="AF13" s="57"/>
      <c r="AG13" s="57">
        <v>22</v>
      </c>
      <c r="AH13" s="57">
        <v>6</v>
      </c>
      <c r="AI13" s="57"/>
      <c r="AJ13" s="57"/>
      <c r="AK13" s="57">
        <v>73</v>
      </c>
      <c r="AL13" s="57">
        <v>95</v>
      </c>
      <c r="AM13" s="57"/>
      <c r="AN13" s="57"/>
      <c r="AO13" s="57">
        <v>0</v>
      </c>
      <c r="AP13" s="58">
        <v>0</v>
      </c>
      <c r="AQ13" s="57"/>
      <c r="AR13" s="57"/>
      <c r="AS13" s="57">
        <v>121</v>
      </c>
      <c r="AT13" s="57">
        <v>127</v>
      </c>
      <c r="AU13" s="57"/>
      <c r="AV13" s="57"/>
      <c r="AW13" s="58">
        <v>119</v>
      </c>
      <c r="AX13" s="57">
        <v>0</v>
      </c>
      <c r="AY13" s="57"/>
      <c r="AZ13" s="57"/>
      <c r="BA13" s="57">
        <v>22</v>
      </c>
      <c r="BB13" s="57">
        <v>35</v>
      </c>
      <c r="BC13" s="57"/>
      <c r="BD13" s="57"/>
      <c r="BE13" s="57">
        <v>3</v>
      </c>
      <c r="BF13" s="57">
        <v>3</v>
      </c>
      <c r="BG13" s="44"/>
      <c r="BH13" s="44"/>
      <c r="BI13" s="44"/>
      <c r="BJ13" s="44"/>
      <c r="BK13" s="44"/>
      <c r="BL13" s="44"/>
      <c r="BM13" s="44"/>
      <c r="BN13" s="45"/>
    </row>
    <row r="14" spans="1:67" ht="15.75" x14ac:dyDescent="0.25">
      <c r="A14" s="46"/>
      <c r="B14" s="51" t="s">
        <v>58</v>
      </c>
      <c r="C14" s="51"/>
      <c r="D14" s="52"/>
      <c r="E14" s="52"/>
      <c r="F14" s="52"/>
      <c r="G14" s="52"/>
      <c r="H14" s="52"/>
      <c r="I14" s="51"/>
      <c r="J14" s="51"/>
      <c r="K14" s="51"/>
      <c r="L14" s="52"/>
      <c r="M14" s="52"/>
      <c r="N14" s="52"/>
      <c r="O14" s="52"/>
      <c r="P14" s="52"/>
      <c r="Q14" s="51"/>
      <c r="R14" s="51"/>
      <c r="S14" s="51"/>
      <c r="T14" s="53"/>
      <c r="U14" s="54"/>
      <c r="V14" s="53"/>
      <c r="W14" s="53"/>
      <c r="X14" s="55"/>
      <c r="Y14" s="53"/>
      <c r="Z14" s="56"/>
      <c r="AA14" s="57"/>
      <c r="AB14" s="57"/>
      <c r="AC14" s="57">
        <v>2672</v>
      </c>
      <c r="AD14" s="57">
        <v>2965</v>
      </c>
      <c r="AE14" s="57"/>
      <c r="AF14" s="57"/>
      <c r="AG14" s="57">
        <v>159</v>
      </c>
      <c r="AH14" s="57">
        <v>73</v>
      </c>
      <c r="AI14" s="57"/>
      <c r="AJ14" s="57"/>
      <c r="AK14" s="57">
        <v>244</v>
      </c>
      <c r="AL14" s="57">
        <v>281</v>
      </c>
      <c r="AM14" s="57"/>
      <c r="AN14" s="57"/>
      <c r="AO14" s="57">
        <v>0</v>
      </c>
      <c r="AP14" s="57">
        <v>153</v>
      </c>
      <c r="AQ14" s="57"/>
      <c r="AR14" s="57"/>
      <c r="AS14" s="57">
        <v>167</v>
      </c>
      <c r="AT14" s="57">
        <v>175</v>
      </c>
      <c r="AU14" s="57"/>
      <c r="AV14" s="57"/>
      <c r="AW14" s="58">
        <v>0</v>
      </c>
      <c r="AX14" s="57">
        <v>0</v>
      </c>
      <c r="AY14" s="57"/>
      <c r="AZ14" s="57"/>
      <c r="BA14" s="57">
        <v>45</v>
      </c>
      <c r="BB14" s="57">
        <v>71</v>
      </c>
      <c r="BC14" s="57"/>
      <c r="BD14" s="57"/>
      <c r="BE14" s="57">
        <v>58</v>
      </c>
      <c r="BF14" s="57">
        <v>219</v>
      </c>
      <c r="BG14" s="44"/>
      <c r="BH14" s="44"/>
      <c r="BI14" s="44"/>
      <c r="BJ14" s="44"/>
      <c r="BK14" s="44"/>
      <c r="BL14" s="44"/>
      <c r="BM14" s="44"/>
      <c r="BN14" s="45"/>
    </row>
    <row r="15" spans="1:67" ht="15.75" x14ac:dyDescent="0.25">
      <c r="A15" s="46"/>
      <c r="B15" s="51" t="s">
        <v>59</v>
      </c>
      <c r="C15" s="51"/>
      <c r="D15" s="52"/>
      <c r="E15" s="52"/>
      <c r="F15" s="52"/>
      <c r="G15" s="52"/>
      <c r="H15" s="52"/>
      <c r="I15" s="51"/>
      <c r="J15" s="51"/>
      <c r="K15" s="51"/>
      <c r="L15" s="52"/>
      <c r="M15" s="52"/>
      <c r="N15" s="52"/>
      <c r="O15" s="52"/>
      <c r="P15" s="52"/>
      <c r="Q15" s="51"/>
      <c r="R15" s="51"/>
      <c r="S15" s="51"/>
      <c r="T15" s="53"/>
      <c r="U15" s="54"/>
      <c r="V15" s="53"/>
      <c r="W15" s="53"/>
      <c r="X15" s="55"/>
      <c r="Y15" s="53"/>
      <c r="Z15" s="56"/>
      <c r="AA15" s="57"/>
      <c r="AB15" s="57"/>
      <c r="AC15" s="57">
        <v>0</v>
      </c>
      <c r="AD15" s="57">
        <v>38</v>
      </c>
      <c r="AE15" s="57"/>
      <c r="AF15" s="57"/>
      <c r="AG15" s="57">
        <v>34</v>
      </c>
      <c r="AH15" s="57">
        <v>0</v>
      </c>
      <c r="AI15" s="57"/>
      <c r="AJ15" s="57"/>
      <c r="AK15" s="57">
        <v>61</v>
      </c>
      <c r="AL15" s="57">
        <v>49</v>
      </c>
      <c r="AM15" s="57"/>
      <c r="AN15" s="57"/>
      <c r="AO15" s="57">
        <v>0</v>
      </c>
      <c r="AP15" s="57">
        <v>264</v>
      </c>
      <c r="AQ15" s="57"/>
      <c r="AR15" s="57"/>
      <c r="AS15" s="57">
        <v>0</v>
      </c>
      <c r="AT15" s="57">
        <v>0</v>
      </c>
      <c r="AU15" s="57"/>
      <c r="AV15" s="57"/>
      <c r="AW15" s="58">
        <v>0</v>
      </c>
      <c r="AX15" s="57">
        <v>0</v>
      </c>
      <c r="AY15" s="57"/>
      <c r="AZ15" s="57"/>
      <c r="BA15" s="57">
        <v>32</v>
      </c>
      <c r="BB15" s="57">
        <v>36</v>
      </c>
      <c r="BC15" s="57"/>
      <c r="BD15" s="57"/>
      <c r="BE15" s="57">
        <v>211</v>
      </c>
      <c r="BF15" s="57">
        <v>279</v>
      </c>
      <c r="BG15" s="44"/>
      <c r="BH15" s="44"/>
      <c r="BI15" s="44"/>
      <c r="BJ15" s="44"/>
      <c r="BK15" s="44"/>
      <c r="BL15" s="44"/>
      <c r="BM15" s="44"/>
      <c r="BN15" s="45"/>
    </row>
    <row r="16" spans="1:67" ht="15.75" x14ac:dyDescent="0.25">
      <c r="A16" s="46"/>
      <c r="B16" s="51" t="s">
        <v>60</v>
      </c>
      <c r="C16" s="51"/>
      <c r="D16" s="52"/>
      <c r="E16" s="52"/>
      <c r="F16" s="52"/>
      <c r="G16" s="52"/>
      <c r="H16" s="52"/>
      <c r="I16" s="51"/>
      <c r="J16" s="51"/>
      <c r="K16" s="51"/>
      <c r="L16" s="52"/>
      <c r="M16" s="52"/>
      <c r="N16" s="52"/>
      <c r="O16" s="52"/>
      <c r="P16" s="52"/>
      <c r="Q16" s="51"/>
      <c r="R16" s="51"/>
      <c r="S16" s="51"/>
      <c r="T16" s="53"/>
      <c r="U16" s="54"/>
      <c r="V16" s="53"/>
      <c r="W16" s="53"/>
      <c r="X16" s="55"/>
      <c r="Y16" s="53"/>
      <c r="Z16" s="56"/>
      <c r="AA16" s="57"/>
      <c r="AB16" s="57"/>
      <c r="AC16" s="57">
        <v>205</v>
      </c>
      <c r="AD16" s="57">
        <v>109</v>
      </c>
      <c r="AE16" s="57"/>
      <c r="AF16" s="57"/>
      <c r="AG16" s="57">
        <v>0</v>
      </c>
      <c r="AH16" s="57">
        <v>44</v>
      </c>
      <c r="AI16" s="57"/>
      <c r="AJ16" s="57"/>
      <c r="AK16" s="57">
        <v>317</v>
      </c>
      <c r="AL16" s="57">
        <v>384</v>
      </c>
      <c r="AM16" s="57"/>
      <c r="AN16" s="57"/>
      <c r="AO16" s="57">
        <v>0</v>
      </c>
      <c r="AP16" s="57">
        <v>490</v>
      </c>
      <c r="AQ16" s="57"/>
      <c r="AR16" s="57"/>
      <c r="AS16" s="57">
        <v>166</v>
      </c>
      <c r="AT16" s="57">
        <v>166</v>
      </c>
      <c r="AU16" s="57"/>
      <c r="AV16" s="57"/>
      <c r="AW16" s="58">
        <v>0</v>
      </c>
      <c r="AX16" s="57">
        <v>0</v>
      </c>
      <c r="AY16" s="57"/>
      <c r="AZ16" s="57"/>
      <c r="BA16" s="57">
        <v>51</v>
      </c>
      <c r="BB16" s="57">
        <v>44</v>
      </c>
      <c r="BC16" s="57"/>
      <c r="BD16" s="57"/>
      <c r="BE16" s="57">
        <v>0</v>
      </c>
      <c r="BF16" s="57">
        <v>0</v>
      </c>
      <c r="BG16" s="44"/>
      <c r="BH16" s="44"/>
      <c r="BI16" s="44"/>
      <c r="BJ16" s="44"/>
      <c r="BK16" s="44"/>
      <c r="BL16" s="44"/>
      <c r="BM16" s="44"/>
      <c r="BN16" s="45"/>
    </row>
    <row r="17" spans="1:66" ht="15.75" x14ac:dyDescent="0.25">
      <c r="A17" s="46"/>
      <c r="B17" s="51" t="s">
        <v>61</v>
      </c>
      <c r="C17" s="51"/>
      <c r="D17" s="52"/>
      <c r="E17" s="52"/>
      <c r="F17" s="52"/>
      <c r="G17" s="52"/>
      <c r="H17" s="52"/>
      <c r="I17" s="51"/>
      <c r="J17" s="51"/>
      <c r="K17" s="51"/>
      <c r="L17" s="52"/>
      <c r="M17" s="52"/>
      <c r="N17" s="52"/>
      <c r="O17" s="52"/>
      <c r="P17" s="52"/>
      <c r="Q17" s="51"/>
      <c r="R17" s="51"/>
      <c r="S17" s="51"/>
      <c r="T17" s="53"/>
      <c r="U17" s="54"/>
      <c r="V17" s="53"/>
      <c r="W17" s="53"/>
      <c r="X17" s="55"/>
      <c r="Y17" s="53"/>
      <c r="Z17" s="56"/>
      <c r="AA17" s="57"/>
      <c r="AB17" s="57"/>
      <c r="AC17" s="57">
        <v>160</v>
      </c>
      <c r="AD17" s="57">
        <v>98</v>
      </c>
      <c r="AE17" s="57"/>
      <c r="AF17" s="57"/>
      <c r="AG17" s="57">
        <v>442</v>
      </c>
      <c r="AH17" s="57">
        <v>69</v>
      </c>
      <c r="AI17" s="57"/>
      <c r="AJ17" s="57"/>
      <c r="AK17" s="57">
        <v>62</v>
      </c>
      <c r="AL17" s="57">
        <v>39</v>
      </c>
      <c r="AM17" s="57"/>
      <c r="AN17" s="57"/>
      <c r="AO17" s="57">
        <v>0</v>
      </c>
      <c r="AP17" s="57">
        <v>209</v>
      </c>
      <c r="AQ17" s="57"/>
      <c r="AR17" s="57"/>
      <c r="AS17" s="57">
        <v>305</v>
      </c>
      <c r="AT17" s="57">
        <v>132</v>
      </c>
      <c r="AU17" s="57"/>
      <c r="AV17" s="57"/>
      <c r="AW17" s="58">
        <v>362</v>
      </c>
      <c r="AX17" s="57">
        <v>0</v>
      </c>
      <c r="AY17" s="57"/>
      <c r="AZ17" s="57"/>
      <c r="BA17" s="57">
        <v>97</v>
      </c>
      <c r="BB17" s="57">
        <v>122</v>
      </c>
      <c r="BC17" s="57"/>
      <c r="BD17" s="57"/>
      <c r="BE17" s="57">
        <v>129</v>
      </c>
      <c r="BF17" s="57">
        <v>146</v>
      </c>
      <c r="BG17" s="44"/>
      <c r="BH17" s="44"/>
      <c r="BI17" s="44"/>
      <c r="BJ17" s="44"/>
      <c r="BK17" s="44"/>
      <c r="BL17" s="44"/>
      <c r="BM17" s="44"/>
      <c r="BN17" s="45"/>
    </row>
    <row r="18" spans="1:66" ht="24" x14ac:dyDescent="0.25">
      <c r="A18" s="46">
        <v>3</v>
      </c>
      <c r="B18" s="60" t="s">
        <v>62</v>
      </c>
      <c r="C18" s="60" t="s">
        <v>63</v>
      </c>
      <c r="D18" s="61"/>
      <c r="E18" s="61" t="s">
        <v>34</v>
      </c>
      <c r="F18" s="61" t="s">
        <v>35</v>
      </c>
      <c r="G18" s="61" t="s">
        <v>64</v>
      </c>
      <c r="H18" s="61" t="s">
        <v>49</v>
      </c>
      <c r="I18" s="60" t="s">
        <v>65</v>
      </c>
      <c r="J18" s="60" t="s">
        <v>43</v>
      </c>
      <c r="K18" s="60" t="s">
        <v>43</v>
      </c>
      <c r="L18" s="61" t="s">
        <v>43</v>
      </c>
      <c r="M18" s="61"/>
      <c r="N18" s="61" t="s">
        <v>41</v>
      </c>
      <c r="O18" s="61" t="s">
        <v>42</v>
      </c>
      <c r="P18" s="61"/>
      <c r="Q18" s="60" t="s">
        <v>43</v>
      </c>
      <c r="R18" s="60"/>
      <c r="S18" s="60" t="s">
        <v>66</v>
      </c>
      <c r="T18" s="33"/>
      <c r="U18" s="34"/>
      <c r="V18" s="33" t="s">
        <v>45</v>
      </c>
      <c r="W18" s="33"/>
      <c r="X18" s="35"/>
      <c r="Y18" s="33"/>
      <c r="Z18" s="49"/>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5"/>
    </row>
    <row r="19" spans="1:66" ht="15.75" x14ac:dyDescent="0.25">
      <c r="A19" s="46">
        <v>4</v>
      </c>
      <c r="B19" s="47" t="s">
        <v>67</v>
      </c>
      <c r="C19" s="47" t="s">
        <v>68</v>
      </c>
      <c r="D19" s="48" t="s">
        <v>48</v>
      </c>
      <c r="E19" s="48" t="s">
        <v>34</v>
      </c>
      <c r="F19" s="48" t="s">
        <v>35</v>
      </c>
      <c r="G19" s="48" t="s">
        <v>64</v>
      </c>
      <c r="H19" s="48" t="s">
        <v>49</v>
      </c>
      <c r="I19" s="47" t="s">
        <v>37</v>
      </c>
      <c r="J19" s="47" t="s">
        <v>38</v>
      </c>
      <c r="K19" s="47" t="s">
        <v>39</v>
      </c>
      <c r="L19" s="48" t="s">
        <v>40</v>
      </c>
      <c r="M19" s="48"/>
      <c r="N19" s="48" t="s">
        <v>41</v>
      </c>
      <c r="O19" s="48" t="s">
        <v>42</v>
      </c>
      <c r="P19" s="48"/>
      <c r="Q19" s="47" t="s">
        <v>43</v>
      </c>
      <c r="R19" s="47"/>
      <c r="S19" s="47" t="s">
        <v>44</v>
      </c>
      <c r="T19" s="33" t="s">
        <v>45</v>
      </c>
      <c r="U19" s="34" t="s">
        <v>45</v>
      </c>
      <c r="V19" s="33"/>
      <c r="W19" s="33"/>
      <c r="X19" s="35"/>
      <c r="Y19" s="33"/>
      <c r="Z19" s="49"/>
      <c r="AA19" s="44"/>
      <c r="AB19" s="44"/>
      <c r="AC19" s="62">
        <v>5713</v>
      </c>
      <c r="AD19" s="62">
        <v>6454</v>
      </c>
      <c r="AE19" s="62"/>
      <c r="AF19" s="62"/>
      <c r="AG19" s="62">
        <v>1135</v>
      </c>
      <c r="AH19" s="62">
        <v>5053</v>
      </c>
      <c r="AI19" s="62"/>
      <c r="AJ19" s="62"/>
      <c r="AK19" s="62">
        <v>2174</v>
      </c>
      <c r="AL19" s="62">
        <v>2509</v>
      </c>
      <c r="AM19" s="62"/>
      <c r="AN19" s="62"/>
      <c r="AO19" s="62">
        <v>0</v>
      </c>
      <c r="AP19" s="62">
        <v>3580</v>
      </c>
      <c r="AQ19" s="62"/>
      <c r="AR19" s="62"/>
      <c r="AS19" s="62">
        <v>2192</v>
      </c>
      <c r="AT19" s="62">
        <v>2139</v>
      </c>
      <c r="AU19" s="62"/>
      <c r="AV19" s="62"/>
      <c r="AW19" s="62">
        <v>1099</v>
      </c>
      <c r="AX19" s="62">
        <v>0</v>
      </c>
      <c r="AY19" s="62"/>
      <c r="AZ19" s="62"/>
      <c r="BA19" s="62">
        <v>526</v>
      </c>
      <c r="BB19" s="62">
        <v>577</v>
      </c>
      <c r="BC19" s="62"/>
      <c r="BD19" s="62"/>
      <c r="BE19" s="62">
        <v>1596</v>
      </c>
      <c r="BF19" s="62">
        <v>2047</v>
      </c>
      <c r="BG19" s="44"/>
      <c r="BH19" s="44"/>
      <c r="BI19" s="44"/>
      <c r="BJ19" s="44"/>
      <c r="BK19" s="44"/>
      <c r="BL19" s="44"/>
      <c r="BM19" s="44"/>
      <c r="BN19" s="45"/>
    </row>
    <row r="20" spans="1:66" ht="15.75" x14ac:dyDescent="0.25">
      <c r="A20" s="46">
        <v>5</v>
      </c>
      <c r="B20" s="60" t="s">
        <v>69</v>
      </c>
      <c r="C20" s="60" t="s">
        <v>70</v>
      </c>
      <c r="D20" s="61" t="s">
        <v>48</v>
      </c>
      <c r="E20" s="61" t="s">
        <v>34</v>
      </c>
      <c r="F20" s="61" t="s">
        <v>35</v>
      </c>
      <c r="G20" s="61" t="s">
        <v>64</v>
      </c>
      <c r="H20" s="61" t="s">
        <v>49</v>
      </c>
      <c r="I20" s="60" t="s">
        <v>37</v>
      </c>
      <c r="J20" s="60" t="s">
        <v>38</v>
      </c>
      <c r="K20" s="60" t="s">
        <v>39</v>
      </c>
      <c r="L20" s="61" t="s">
        <v>40</v>
      </c>
      <c r="M20" s="61"/>
      <c r="N20" s="61" t="s">
        <v>41</v>
      </c>
      <c r="O20" s="61" t="s">
        <v>42</v>
      </c>
      <c r="P20" s="61"/>
      <c r="Q20" s="60" t="s">
        <v>43</v>
      </c>
      <c r="R20" s="60"/>
      <c r="S20" s="60" t="s">
        <v>66</v>
      </c>
      <c r="T20" s="33"/>
      <c r="U20" s="34"/>
      <c r="V20" s="33" t="s">
        <v>45</v>
      </c>
      <c r="W20" s="33"/>
      <c r="X20" s="35"/>
      <c r="Y20" s="33"/>
      <c r="Z20" s="49"/>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5"/>
    </row>
    <row r="21" spans="1:66" s="1" customFormat="1" ht="15.75" x14ac:dyDescent="0.25">
      <c r="A21" s="63">
        <v>6</v>
      </c>
      <c r="B21" s="64" t="s">
        <v>71</v>
      </c>
      <c r="C21" s="47" t="s">
        <v>72</v>
      </c>
      <c r="D21" s="48" t="s">
        <v>73</v>
      </c>
      <c r="E21" s="48" t="s">
        <v>74</v>
      </c>
      <c r="F21" s="48" t="s">
        <v>75</v>
      </c>
      <c r="G21" s="48" t="s">
        <v>64</v>
      </c>
      <c r="H21" s="48" t="s">
        <v>36</v>
      </c>
      <c r="I21" s="47" t="s">
        <v>76</v>
      </c>
      <c r="J21" s="47" t="s">
        <v>43</v>
      </c>
      <c r="K21" s="47" t="s">
        <v>43</v>
      </c>
      <c r="L21" s="48" t="s">
        <v>43</v>
      </c>
      <c r="M21" s="48"/>
      <c r="N21" s="48" t="s">
        <v>41</v>
      </c>
      <c r="O21" s="48" t="s">
        <v>42</v>
      </c>
      <c r="P21" s="48"/>
      <c r="Q21" s="47" t="s">
        <v>43</v>
      </c>
      <c r="R21" s="47"/>
      <c r="S21" s="47"/>
      <c r="T21" s="33" t="s">
        <v>45</v>
      </c>
      <c r="U21" s="34"/>
      <c r="V21" s="33" t="s">
        <v>45</v>
      </c>
      <c r="W21" s="33"/>
      <c r="X21" s="35"/>
      <c r="Y21" s="33"/>
      <c r="Z21" s="49"/>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5"/>
    </row>
    <row r="22" spans="1:66" ht="15.75" x14ac:dyDescent="0.25">
      <c r="A22" s="46">
        <v>7</v>
      </c>
      <c r="B22" s="66" t="s">
        <v>77</v>
      </c>
      <c r="C22" s="60" t="s">
        <v>78</v>
      </c>
      <c r="D22" s="61" t="s">
        <v>48</v>
      </c>
      <c r="E22" s="61" t="s">
        <v>74</v>
      </c>
      <c r="F22" s="61" t="s">
        <v>75</v>
      </c>
      <c r="G22" s="61" t="s">
        <v>64</v>
      </c>
      <c r="H22" s="61" t="s">
        <v>79</v>
      </c>
      <c r="I22" s="60" t="s">
        <v>76</v>
      </c>
      <c r="J22" s="60" t="s">
        <v>43</v>
      </c>
      <c r="K22" s="60" t="s">
        <v>43</v>
      </c>
      <c r="L22" s="61" t="s">
        <v>43</v>
      </c>
      <c r="M22" s="61"/>
      <c r="N22" s="61" t="s">
        <v>41</v>
      </c>
      <c r="O22" s="61" t="s">
        <v>42</v>
      </c>
      <c r="P22" s="61"/>
      <c r="Q22" s="60" t="s">
        <v>43</v>
      </c>
      <c r="R22" s="60"/>
      <c r="S22" s="60" t="s">
        <v>66</v>
      </c>
      <c r="T22" s="67"/>
      <c r="U22" s="68"/>
      <c r="V22" s="67" t="s">
        <v>45</v>
      </c>
      <c r="W22" s="67"/>
      <c r="X22" s="69"/>
      <c r="Y22" s="67"/>
      <c r="Z22" s="70"/>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5"/>
    </row>
    <row r="23" spans="1:66" ht="15.75" x14ac:dyDescent="0.25">
      <c r="A23" s="46">
        <v>8</v>
      </c>
      <c r="B23" s="64" t="s">
        <v>80</v>
      </c>
      <c r="C23" s="47" t="s">
        <v>81</v>
      </c>
      <c r="D23" s="48" t="s">
        <v>48</v>
      </c>
      <c r="E23" s="48" t="s">
        <v>74</v>
      </c>
      <c r="F23" s="48" t="s">
        <v>75</v>
      </c>
      <c r="G23" s="48" t="s">
        <v>64</v>
      </c>
      <c r="H23" s="48" t="s">
        <v>36</v>
      </c>
      <c r="I23" s="47" t="s">
        <v>76</v>
      </c>
      <c r="J23" s="47" t="s">
        <v>43</v>
      </c>
      <c r="K23" s="47" t="s">
        <v>43</v>
      </c>
      <c r="L23" s="48" t="s">
        <v>43</v>
      </c>
      <c r="M23" s="48"/>
      <c r="N23" s="48" t="s">
        <v>41</v>
      </c>
      <c r="O23" s="48" t="s">
        <v>42</v>
      </c>
      <c r="P23" s="48"/>
      <c r="Q23" s="47" t="s">
        <v>43</v>
      </c>
      <c r="R23" s="47"/>
      <c r="S23" s="47" t="s">
        <v>66</v>
      </c>
      <c r="T23" s="67" t="s">
        <v>45</v>
      </c>
      <c r="U23" s="68"/>
      <c r="V23" s="67" t="s">
        <v>45</v>
      </c>
      <c r="W23" s="67"/>
      <c r="X23" s="69"/>
      <c r="Y23" s="67"/>
      <c r="Z23" s="70"/>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5"/>
    </row>
    <row r="24" spans="1:66" ht="15.75" x14ac:dyDescent="0.25">
      <c r="A24" s="46">
        <v>9</v>
      </c>
      <c r="B24" s="66" t="s">
        <v>82</v>
      </c>
      <c r="C24" s="60" t="s">
        <v>83</v>
      </c>
      <c r="D24" s="61" t="s">
        <v>48</v>
      </c>
      <c r="E24" s="61" t="s">
        <v>74</v>
      </c>
      <c r="F24" s="61" t="s">
        <v>75</v>
      </c>
      <c r="G24" s="61" t="s">
        <v>64</v>
      </c>
      <c r="H24" s="61" t="s">
        <v>79</v>
      </c>
      <c r="I24" s="60" t="s">
        <v>76</v>
      </c>
      <c r="J24" s="60" t="s">
        <v>43</v>
      </c>
      <c r="K24" s="60" t="s">
        <v>43</v>
      </c>
      <c r="L24" s="61" t="s">
        <v>43</v>
      </c>
      <c r="M24" s="61"/>
      <c r="N24" s="61" t="s">
        <v>41</v>
      </c>
      <c r="O24" s="61" t="s">
        <v>42</v>
      </c>
      <c r="P24" s="61"/>
      <c r="Q24" s="60" t="s">
        <v>43</v>
      </c>
      <c r="R24" s="60"/>
      <c r="S24" s="60" t="s">
        <v>66</v>
      </c>
      <c r="T24" s="67"/>
      <c r="U24" s="68"/>
      <c r="V24" s="67" t="s">
        <v>45</v>
      </c>
      <c r="W24" s="67"/>
      <c r="X24" s="69"/>
      <c r="Y24" s="67"/>
      <c r="Z24" s="70"/>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5"/>
    </row>
    <row r="25" spans="1:66" s="1" customFormat="1" ht="24" x14ac:dyDescent="0.25">
      <c r="A25" s="63">
        <v>10</v>
      </c>
      <c r="B25" s="64" t="s">
        <v>84</v>
      </c>
      <c r="C25" s="47" t="s">
        <v>85</v>
      </c>
      <c r="D25" s="48" t="s">
        <v>86</v>
      </c>
      <c r="E25" s="48" t="s">
        <v>34</v>
      </c>
      <c r="F25" s="48" t="s">
        <v>87</v>
      </c>
      <c r="G25" s="48" t="s">
        <v>43</v>
      </c>
      <c r="H25" s="48" t="s">
        <v>36</v>
      </c>
      <c r="I25" s="47" t="s">
        <v>88</v>
      </c>
      <c r="J25" s="47" t="s">
        <v>89</v>
      </c>
      <c r="K25" s="47" t="s">
        <v>43</v>
      </c>
      <c r="L25" s="48" t="s">
        <v>43</v>
      </c>
      <c r="M25" s="48"/>
      <c r="N25" s="48" t="s">
        <v>41</v>
      </c>
      <c r="O25" s="48" t="s">
        <v>90</v>
      </c>
      <c r="P25" s="48" t="s">
        <v>91</v>
      </c>
      <c r="Q25" s="47" t="s">
        <v>92</v>
      </c>
      <c r="R25" s="47"/>
      <c r="S25" s="47" t="s">
        <v>66</v>
      </c>
      <c r="T25" s="67" t="s">
        <v>45</v>
      </c>
      <c r="U25" s="68"/>
      <c r="V25" s="67" t="s">
        <v>45</v>
      </c>
      <c r="W25" s="67"/>
      <c r="X25" s="69"/>
      <c r="Y25" s="67"/>
      <c r="Z25" s="70"/>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5"/>
    </row>
    <row r="26" spans="1:66" ht="60" x14ac:dyDescent="0.25">
      <c r="A26" s="46">
        <v>11</v>
      </c>
      <c r="B26" s="64" t="s">
        <v>93</v>
      </c>
      <c r="C26" s="47" t="s">
        <v>94</v>
      </c>
      <c r="D26" s="48" t="s">
        <v>86</v>
      </c>
      <c r="E26" s="48" t="s">
        <v>34</v>
      </c>
      <c r="F26" s="48" t="s">
        <v>87</v>
      </c>
      <c r="G26" s="48" t="s">
        <v>43</v>
      </c>
      <c r="H26" s="48" t="s">
        <v>36</v>
      </c>
      <c r="I26" s="47" t="s">
        <v>88</v>
      </c>
      <c r="J26" s="47" t="s">
        <v>95</v>
      </c>
      <c r="K26" s="47" t="s">
        <v>43</v>
      </c>
      <c r="L26" s="48" t="s">
        <v>43</v>
      </c>
      <c r="M26" s="48"/>
      <c r="N26" s="48" t="s">
        <v>41</v>
      </c>
      <c r="O26" s="48" t="s">
        <v>90</v>
      </c>
      <c r="P26" s="48" t="s">
        <v>91</v>
      </c>
      <c r="Q26" s="47" t="s">
        <v>96</v>
      </c>
      <c r="R26" s="47"/>
      <c r="S26" s="47" t="s">
        <v>97</v>
      </c>
      <c r="T26" s="67" t="s">
        <v>45</v>
      </c>
      <c r="U26" s="68" t="s">
        <v>45</v>
      </c>
      <c r="V26" s="67"/>
      <c r="W26" s="67"/>
      <c r="X26" s="69"/>
      <c r="Y26" s="67"/>
      <c r="Z26" s="70"/>
      <c r="AA26" s="50"/>
      <c r="AB26" s="50"/>
      <c r="AC26" s="50">
        <v>2011</v>
      </c>
      <c r="AD26" s="50"/>
      <c r="AE26" s="50"/>
      <c r="AF26" s="50"/>
      <c r="AG26" s="50">
        <v>2011</v>
      </c>
      <c r="AH26" s="50"/>
      <c r="AI26" s="50"/>
      <c r="AJ26" s="50"/>
      <c r="AK26" s="50">
        <v>2011</v>
      </c>
      <c r="AL26" s="50"/>
      <c r="AM26" s="50"/>
      <c r="AN26" s="50"/>
      <c r="AO26" s="50">
        <v>2011</v>
      </c>
      <c r="AP26" s="50"/>
      <c r="AQ26" s="50"/>
      <c r="AR26" s="50"/>
      <c r="AS26" s="50">
        <v>2011</v>
      </c>
      <c r="AT26" s="50"/>
      <c r="AU26" s="50"/>
      <c r="AV26" s="50"/>
      <c r="AW26" s="50">
        <v>2011</v>
      </c>
      <c r="AX26" s="50"/>
      <c r="AY26" s="50"/>
      <c r="AZ26" s="50"/>
      <c r="BA26" s="50">
        <v>2011</v>
      </c>
      <c r="BB26" s="50"/>
      <c r="BC26" s="50"/>
      <c r="BD26" s="50"/>
      <c r="BE26" s="50">
        <v>2011</v>
      </c>
      <c r="BF26" s="44"/>
      <c r="BG26" s="44"/>
      <c r="BH26" s="44"/>
      <c r="BI26" s="44"/>
      <c r="BJ26" s="44"/>
      <c r="BK26" s="44"/>
      <c r="BL26" s="44"/>
      <c r="BM26" s="44"/>
      <c r="BN26" s="45"/>
    </row>
    <row r="27" spans="1:66" ht="15.75" x14ac:dyDescent="0.25">
      <c r="A27" s="46"/>
      <c r="B27" s="51" t="s">
        <v>98</v>
      </c>
      <c r="C27" s="51"/>
      <c r="D27" s="52"/>
      <c r="E27" s="52"/>
      <c r="F27" s="52"/>
      <c r="G27" s="52"/>
      <c r="H27" s="52"/>
      <c r="I27" s="51"/>
      <c r="J27" s="51"/>
      <c r="K27" s="51"/>
      <c r="L27" s="52"/>
      <c r="M27" s="52"/>
      <c r="N27" s="52"/>
      <c r="O27" s="52"/>
      <c r="P27" s="52"/>
      <c r="Q27" s="51"/>
      <c r="R27" s="51"/>
      <c r="S27" s="51"/>
      <c r="T27" s="53"/>
      <c r="U27" s="54"/>
      <c r="V27" s="53"/>
      <c r="W27" s="53"/>
      <c r="X27" s="55"/>
      <c r="Y27" s="53"/>
      <c r="Z27" s="56"/>
      <c r="AA27" s="57"/>
      <c r="AB27" s="57"/>
      <c r="AC27" s="71">
        <v>1107068</v>
      </c>
      <c r="AD27" s="71"/>
      <c r="AE27" s="71"/>
      <c r="AF27" s="71"/>
      <c r="AG27" s="71">
        <v>736009</v>
      </c>
      <c r="AH27" s="71"/>
      <c r="AI27" s="71"/>
      <c r="AJ27" s="71"/>
      <c r="AK27" s="71">
        <v>1134144</v>
      </c>
      <c r="AL27" s="71"/>
      <c r="AM27" s="71"/>
      <c r="AN27" s="71"/>
      <c r="AO27" s="71">
        <v>990263</v>
      </c>
      <c r="AP27" s="71"/>
      <c r="AQ27" s="71"/>
      <c r="AR27" s="71"/>
      <c r="AS27" s="71">
        <v>804170</v>
      </c>
      <c r="AT27" s="71"/>
      <c r="AU27" s="71"/>
      <c r="AV27" s="71"/>
      <c r="AW27" s="71">
        <v>369366</v>
      </c>
      <c r="AX27" s="71"/>
      <c r="AY27" s="71"/>
      <c r="AZ27" s="71"/>
      <c r="BA27" s="71">
        <v>218108</v>
      </c>
      <c r="BB27" s="71"/>
      <c r="BC27" s="71"/>
      <c r="BD27" s="71"/>
      <c r="BE27" s="72">
        <v>204967</v>
      </c>
      <c r="BF27" s="44"/>
      <c r="BG27" s="44"/>
      <c r="BH27" s="44"/>
      <c r="BI27" s="44"/>
      <c r="BJ27" s="44"/>
      <c r="BK27" s="44"/>
      <c r="BL27" s="44"/>
      <c r="BM27" s="44"/>
      <c r="BN27" s="45"/>
    </row>
    <row r="28" spans="1:66" ht="15.75" x14ac:dyDescent="0.25">
      <c r="A28" s="46"/>
      <c r="B28" s="51" t="s">
        <v>99</v>
      </c>
      <c r="C28" s="58"/>
      <c r="D28" s="52"/>
      <c r="E28" s="52"/>
      <c r="F28" s="52"/>
      <c r="G28" s="52"/>
      <c r="H28" s="52"/>
      <c r="I28" s="51"/>
      <c r="J28" s="51"/>
      <c r="K28" s="51"/>
      <c r="L28" s="52"/>
      <c r="M28" s="52"/>
      <c r="N28" s="52"/>
      <c r="O28" s="52"/>
      <c r="P28" s="52"/>
      <c r="Q28" s="51"/>
      <c r="R28" s="51"/>
      <c r="S28" s="51"/>
      <c r="T28" s="53"/>
      <c r="U28" s="54"/>
      <c r="V28" s="53"/>
      <c r="W28" s="53"/>
      <c r="X28" s="55"/>
      <c r="Y28" s="53"/>
      <c r="Z28" s="56"/>
      <c r="AA28" s="73">
        <v>2014</v>
      </c>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5"/>
    </row>
    <row r="29" spans="1:66" ht="15.75" x14ac:dyDescent="0.25">
      <c r="A29" s="46"/>
      <c r="B29" s="51" t="s">
        <v>100</v>
      </c>
      <c r="C29" s="58"/>
      <c r="D29" s="52"/>
      <c r="E29" s="52"/>
      <c r="F29" s="52"/>
      <c r="G29" s="52"/>
      <c r="H29" s="52"/>
      <c r="I29" s="51"/>
      <c r="J29" s="51"/>
      <c r="K29" s="51"/>
      <c r="L29" s="52"/>
      <c r="M29" s="52"/>
      <c r="N29" s="52"/>
      <c r="O29" s="52"/>
      <c r="P29" s="52"/>
      <c r="Q29" s="51"/>
      <c r="R29" s="51"/>
      <c r="S29" s="51"/>
      <c r="T29" s="53"/>
      <c r="U29" s="54"/>
      <c r="V29" s="53"/>
      <c r="W29" s="53"/>
      <c r="X29" s="55"/>
      <c r="Y29" s="53"/>
      <c r="Z29" s="56"/>
      <c r="AA29" s="74">
        <v>5995369</v>
      </c>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5"/>
    </row>
    <row r="30" spans="1:66" ht="15.75" x14ac:dyDescent="0.25">
      <c r="A30" s="46"/>
      <c r="B30" s="51" t="s">
        <v>101</v>
      </c>
      <c r="C30" s="51"/>
      <c r="D30" s="52"/>
      <c r="E30" s="52"/>
      <c r="F30" s="52"/>
      <c r="G30" s="52"/>
      <c r="H30" s="52"/>
      <c r="I30" s="51"/>
      <c r="J30" s="51"/>
      <c r="K30" s="51"/>
      <c r="L30" s="52"/>
      <c r="M30" s="52"/>
      <c r="N30" s="52"/>
      <c r="O30" s="52"/>
      <c r="P30" s="52"/>
      <c r="Q30" s="51"/>
      <c r="R30" s="51"/>
      <c r="S30" s="51"/>
      <c r="T30" s="53"/>
      <c r="U30" s="54"/>
      <c r="V30" s="53"/>
      <c r="W30" s="53"/>
      <c r="X30" s="55"/>
      <c r="Y30" s="53"/>
      <c r="Z30" s="56"/>
      <c r="AA30" s="74">
        <v>1430477</v>
      </c>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5"/>
    </row>
    <row r="31" spans="1:66" ht="15.75" x14ac:dyDescent="0.25">
      <c r="A31" s="46"/>
      <c r="B31" s="51" t="s">
        <v>102</v>
      </c>
      <c r="C31" s="51"/>
      <c r="D31" s="52"/>
      <c r="E31" s="52"/>
      <c r="F31" s="52"/>
      <c r="G31" s="52"/>
      <c r="H31" s="52"/>
      <c r="I31" s="51"/>
      <c r="J31" s="51"/>
      <c r="K31" s="51"/>
      <c r="L31" s="52"/>
      <c r="M31" s="52"/>
      <c r="N31" s="52"/>
      <c r="O31" s="52"/>
      <c r="P31" s="52"/>
      <c r="Q31" s="51"/>
      <c r="R31" s="51"/>
      <c r="S31" s="51"/>
      <c r="T31" s="53"/>
      <c r="U31" s="54"/>
      <c r="V31" s="53"/>
      <c r="W31" s="53"/>
      <c r="X31" s="55"/>
      <c r="Y31" s="53"/>
      <c r="Z31" s="56"/>
      <c r="AA31" s="75">
        <v>2912577</v>
      </c>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5"/>
    </row>
    <row r="32" spans="1:66" ht="15.75" x14ac:dyDescent="0.25">
      <c r="A32" s="46"/>
      <c r="B32" s="51" t="s">
        <v>103</v>
      </c>
      <c r="C32" s="51"/>
      <c r="D32" s="52"/>
      <c r="E32" s="52"/>
      <c r="F32" s="52"/>
      <c r="G32" s="52"/>
      <c r="H32" s="52"/>
      <c r="I32" s="51"/>
      <c r="J32" s="51"/>
      <c r="K32" s="51"/>
      <c r="L32" s="52"/>
      <c r="M32" s="52"/>
      <c r="N32" s="52"/>
      <c r="O32" s="52"/>
      <c r="P32" s="52"/>
      <c r="Q32" s="51"/>
      <c r="R32" s="51"/>
      <c r="S32" s="51"/>
      <c r="T32" s="53"/>
      <c r="U32" s="54"/>
      <c r="V32" s="53"/>
      <c r="W32" s="53"/>
      <c r="X32" s="55"/>
      <c r="Y32" s="53"/>
      <c r="Z32" s="56"/>
      <c r="AA32" s="74">
        <v>3202037</v>
      </c>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5"/>
    </row>
    <row r="33" spans="1:66" ht="15.75" x14ac:dyDescent="0.25">
      <c r="A33" s="46"/>
      <c r="B33" s="51" t="s">
        <v>104</v>
      </c>
      <c r="C33" s="51"/>
      <c r="D33" s="52"/>
      <c r="E33" s="52"/>
      <c r="F33" s="52"/>
      <c r="G33" s="52"/>
      <c r="H33" s="52"/>
      <c r="I33" s="51"/>
      <c r="J33" s="51"/>
      <c r="K33" s="51"/>
      <c r="L33" s="52"/>
      <c r="M33" s="52"/>
      <c r="N33" s="52"/>
      <c r="O33" s="52"/>
      <c r="P33" s="52"/>
      <c r="Q33" s="51"/>
      <c r="R33" s="51"/>
      <c r="S33" s="51"/>
      <c r="T33" s="53"/>
      <c r="U33" s="54"/>
      <c r="V33" s="53"/>
      <c r="W33" s="53"/>
      <c r="X33" s="55"/>
      <c r="Y33" s="53"/>
      <c r="Z33" s="56"/>
      <c r="AA33" s="74">
        <v>5084138</v>
      </c>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5"/>
    </row>
    <row r="34" spans="1:66" ht="15.75" x14ac:dyDescent="0.25">
      <c r="A34" s="46"/>
      <c r="B34" s="51" t="s">
        <v>105</v>
      </c>
      <c r="C34" s="51"/>
      <c r="D34" s="52"/>
      <c r="E34" s="52"/>
      <c r="F34" s="52"/>
      <c r="G34" s="52"/>
      <c r="H34" s="52"/>
      <c r="I34" s="76"/>
      <c r="J34" s="77"/>
      <c r="K34" s="51"/>
      <c r="L34" s="52"/>
      <c r="M34" s="52"/>
      <c r="N34" s="52"/>
      <c r="O34" s="52"/>
      <c r="P34" s="52"/>
      <c r="Q34" s="51"/>
      <c r="R34" s="51"/>
      <c r="S34" s="51"/>
      <c r="T34" s="53"/>
      <c r="U34" s="54"/>
      <c r="V34" s="53"/>
      <c r="W34" s="53"/>
      <c r="X34" s="55"/>
      <c r="Y34" s="53"/>
      <c r="Z34" s="56"/>
      <c r="AA34" s="78">
        <v>2423990</v>
      </c>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5"/>
    </row>
    <row r="35" spans="1:66" ht="15.75" x14ac:dyDescent="0.25">
      <c r="A35" s="46"/>
      <c r="B35" s="51" t="s">
        <v>106</v>
      </c>
      <c r="C35" s="51"/>
      <c r="D35" s="52"/>
      <c r="E35" s="52"/>
      <c r="F35" s="52"/>
      <c r="G35" s="52"/>
      <c r="H35" s="52"/>
      <c r="I35" s="51"/>
      <c r="J35" s="51"/>
      <c r="K35" s="51"/>
      <c r="L35" s="52"/>
      <c r="M35" s="52"/>
      <c r="N35" s="52"/>
      <c r="O35" s="52"/>
      <c r="P35" s="52"/>
      <c r="Q35" s="51"/>
      <c r="R35" s="51"/>
      <c r="S35" s="51"/>
      <c r="T35" s="53"/>
      <c r="U35" s="54"/>
      <c r="V35" s="53"/>
      <c r="W35" s="53"/>
      <c r="X35" s="55"/>
      <c r="Y35" s="53"/>
      <c r="Z35" s="56"/>
      <c r="AA35" s="74">
        <v>591965</v>
      </c>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5"/>
    </row>
    <row r="36" spans="1:66" ht="15.75" x14ac:dyDescent="0.25">
      <c r="A36" s="46"/>
      <c r="B36" s="51" t="s">
        <v>107</v>
      </c>
      <c r="C36" s="51"/>
      <c r="D36" s="52"/>
      <c r="E36" s="52"/>
      <c r="F36" s="52"/>
      <c r="G36" s="52"/>
      <c r="H36" s="52"/>
      <c r="I36" s="51"/>
      <c r="J36" s="51"/>
      <c r="K36" s="51"/>
      <c r="L36" s="52"/>
      <c r="M36" s="52"/>
      <c r="N36" s="52"/>
      <c r="O36" s="52"/>
      <c r="P36" s="52"/>
      <c r="Q36" s="51"/>
      <c r="R36" s="51"/>
      <c r="S36" s="51"/>
      <c r="T36" s="53"/>
      <c r="U36" s="54"/>
      <c r="V36" s="53"/>
      <c r="W36" s="53"/>
      <c r="X36" s="55"/>
      <c r="Y36" s="53"/>
      <c r="Z36" s="56"/>
      <c r="AA36" s="74">
        <v>1655930</v>
      </c>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5"/>
    </row>
    <row r="37" spans="1:66" ht="15.75" x14ac:dyDescent="0.25">
      <c r="A37" s="46"/>
      <c r="B37" s="51" t="s">
        <v>108</v>
      </c>
      <c r="C37" s="51"/>
      <c r="D37" s="52"/>
      <c r="E37" s="52"/>
      <c r="F37" s="52"/>
      <c r="G37" s="52"/>
      <c r="H37" s="52"/>
      <c r="I37" s="51"/>
      <c r="J37" s="51"/>
      <c r="K37" s="51"/>
      <c r="L37" s="52"/>
      <c r="M37" s="52"/>
      <c r="N37" s="52"/>
      <c r="O37" s="52"/>
      <c r="P37" s="52"/>
      <c r="Q37" s="51"/>
      <c r="R37" s="51"/>
      <c r="S37" s="51"/>
      <c r="T37" s="53"/>
      <c r="U37" s="54"/>
      <c r="V37" s="53"/>
      <c r="W37" s="53"/>
      <c r="X37" s="55"/>
      <c r="Y37" s="53"/>
      <c r="Z37" s="56"/>
      <c r="AA37" s="74">
        <v>1841941</v>
      </c>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5"/>
    </row>
    <row r="38" spans="1:66" ht="15.75" x14ac:dyDescent="0.25">
      <c r="A38" s="46"/>
      <c r="B38" s="79" t="s">
        <v>109</v>
      </c>
      <c r="C38" s="51"/>
      <c r="D38" s="52"/>
      <c r="E38" s="52"/>
      <c r="F38" s="52"/>
      <c r="G38" s="52"/>
      <c r="H38" s="52"/>
      <c r="I38" s="51"/>
      <c r="J38" s="51"/>
      <c r="K38" s="51"/>
      <c r="L38" s="52"/>
      <c r="M38" s="52"/>
      <c r="N38" s="52"/>
      <c r="O38" s="52"/>
      <c r="P38" s="52"/>
      <c r="Q38" s="51"/>
      <c r="R38" s="51"/>
      <c r="S38" s="51"/>
      <c r="T38" s="53"/>
      <c r="U38" s="54"/>
      <c r="V38" s="53"/>
      <c r="W38" s="53"/>
      <c r="X38" s="55"/>
      <c r="Y38" s="53"/>
      <c r="Z38" s="56"/>
      <c r="AA38" s="80">
        <f>SUM(AA29:AA37)</f>
        <v>25138424</v>
      </c>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5"/>
    </row>
    <row r="39" spans="1:66" ht="132" x14ac:dyDescent="0.25">
      <c r="A39" s="46">
        <v>12</v>
      </c>
      <c r="B39" s="66" t="s">
        <v>110</v>
      </c>
      <c r="C39" s="60" t="s">
        <v>111</v>
      </c>
      <c r="D39" s="61" t="s">
        <v>112</v>
      </c>
      <c r="E39" s="61" t="s">
        <v>34</v>
      </c>
      <c r="F39" s="61" t="s">
        <v>87</v>
      </c>
      <c r="G39" s="61" t="s">
        <v>43</v>
      </c>
      <c r="H39" s="61" t="s">
        <v>79</v>
      </c>
      <c r="I39" s="60" t="s">
        <v>76</v>
      </c>
      <c r="J39" s="60" t="s">
        <v>43</v>
      </c>
      <c r="K39" s="60" t="s">
        <v>43</v>
      </c>
      <c r="L39" s="61" t="s">
        <v>43</v>
      </c>
      <c r="M39" s="61"/>
      <c r="N39" s="61" t="s">
        <v>41</v>
      </c>
      <c r="O39" s="61" t="s">
        <v>42</v>
      </c>
      <c r="P39" s="61"/>
      <c r="Q39" s="60" t="s">
        <v>43</v>
      </c>
      <c r="R39" s="60"/>
      <c r="S39" s="60" t="s">
        <v>66</v>
      </c>
      <c r="T39" s="67"/>
      <c r="U39" s="68"/>
      <c r="V39" s="67" t="s">
        <v>45</v>
      </c>
      <c r="W39" s="67"/>
      <c r="X39" s="69"/>
      <c r="Y39" s="67"/>
      <c r="Z39" s="70"/>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5"/>
    </row>
    <row r="40" spans="1:66" s="1" customFormat="1" ht="36" x14ac:dyDescent="0.25">
      <c r="A40" s="63">
        <v>13</v>
      </c>
      <c r="B40" s="64" t="s">
        <v>113</v>
      </c>
      <c r="C40" s="47" t="s">
        <v>114</v>
      </c>
      <c r="D40" s="48" t="s">
        <v>115</v>
      </c>
      <c r="E40" s="48" t="s">
        <v>34</v>
      </c>
      <c r="F40" s="48" t="s">
        <v>87</v>
      </c>
      <c r="G40" s="48" t="s">
        <v>43</v>
      </c>
      <c r="H40" s="48" t="s">
        <v>79</v>
      </c>
      <c r="I40" s="47" t="s">
        <v>76</v>
      </c>
      <c r="J40" s="47" t="s">
        <v>43</v>
      </c>
      <c r="K40" s="47" t="s">
        <v>43</v>
      </c>
      <c r="L40" s="48" t="s">
        <v>43</v>
      </c>
      <c r="M40" s="48"/>
      <c r="N40" s="48" t="s">
        <v>41</v>
      </c>
      <c r="O40" s="48" t="s">
        <v>42</v>
      </c>
      <c r="P40" s="48"/>
      <c r="Q40" s="47" t="s">
        <v>43</v>
      </c>
      <c r="R40" s="47"/>
      <c r="S40" s="47" t="s">
        <v>116</v>
      </c>
      <c r="T40" s="67" t="s">
        <v>45</v>
      </c>
      <c r="U40" s="68"/>
      <c r="V40" s="67" t="s">
        <v>45</v>
      </c>
      <c r="W40" s="67"/>
      <c r="X40" s="69"/>
      <c r="Y40" s="67"/>
      <c r="Z40" s="70"/>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5"/>
    </row>
    <row r="41" spans="1:66" s="1" customFormat="1" ht="24" x14ac:dyDescent="0.25">
      <c r="A41" s="63">
        <v>14</v>
      </c>
      <c r="B41" s="64" t="s">
        <v>117</v>
      </c>
      <c r="C41" s="47" t="s">
        <v>118</v>
      </c>
      <c r="D41" s="48" t="s">
        <v>119</v>
      </c>
      <c r="E41" s="48" t="s">
        <v>34</v>
      </c>
      <c r="F41" s="48" t="s">
        <v>87</v>
      </c>
      <c r="G41" s="48" t="s">
        <v>43</v>
      </c>
      <c r="H41" s="48" t="s">
        <v>79</v>
      </c>
      <c r="I41" s="47" t="s">
        <v>76</v>
      </c>
      <c r="J41" s="47" t="s">
        <v>43</v>
      </c>
      <c r="K41" s="47" t="s">
        <v>43</v>
      </c>
      <c r="L41" s="48" t="s">
        <v>43</v>
      </c>
      <c r="M41" s="48"/>
      <c r="N41" s="48" t="s">
        <v>41</v>
      </c>
      <c r="O41" s="48" t="s">
        <v>42</v>
      </c>
      <c r="P41" s="48"/>
      <c r="Q41" s="47" t="s">
        <v>43</v>
      </c>
      <c r="R41" s="47"/>
      <c r="S41" s="47"/>
      <c r="T41" s="67" t="s">
        <v>45</v>
      </c>
      <c r="U41" s="68"/>
      <c r="V41" s="67" t="s">
        <v>45</v>
      </c>
      <c r="W41" s="67"/>
      <c r="X41" s="69"/>
      <c r="Y41" s="67"/>
      <c r="Z41" s="70"/>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5"/>
    </row>
    <row r="42" spans="1:66" ht="36" x14ac:dyDescent="0.25">
      <c r="A42" s="46">
        <v>15</v>
      </c>
      <c r="B42" s="64" t="s">
        <v>120</v>
      </c>
      <c r="C42" s="47" t="s">
        <v>121</v>
      </c>
      <c r="D42" s="48"/>
      <c r="E42" s="48" t="s">
        <v>34</v>
      </c>
      <c r="F42" s="48" t="s">
        <v>122</v>
      </c>
      <c r="G42" s="48" t="s">
        <v>43</v>
      </c>
      <c r="H42" s="48" t="s">
        <v>49</v>
      </c>
      <c r="I42" s="47" t="s">
        <v>76</v>
      </c>
      <c r="J42" s="47" t="s">
        <v>43</v>
      </c>
      <c r="K42" s="47" t="s">
        <v>43</v>
      </c>
      <c r="L42" s="48" t="s">
        <v>43</v>
      </c>
      <c r="M42" s="48"/>
      <c r="N42" s="48" t="s">
        <v>41</v>
      </c>
      <c r="O42" s="48" t="s">
        <v>123</v>
      </c>
      <c r="P42" s="48"/>
      <c r="Q42" s="47" t="s">
        <v>43</v>
      </c>
      <c r="R42" s="47"/>
      <c r="S42" s="47" t="s">
        <v>124</v>
      </c>
      <c r="T42" s="33" t="s">
        <v>45</v>
      </c>
      <c r="U42" s="34" t="s">
        <v>45</v>
      </c>
      <c r="V42" s="33"/>
      <c r="W42" s="33"/>
      <c r="X42" s="35"/>
      <c r="Y42" s="33"/>
      <c r="Z42" s="49"/>
      <c r="AA42" s="81"/>
      <c r="AB42" s="82"/>
      <c r="AC42" s="82"/>
      <c r="AD42" s="82"/>
      <c r="AE42" s="82"/>
      <c r="AF42" s="82"/>
      <c r="AG42" s="82"/>
      <c r="AH42" s="82"/>
      <c r="AI42" s="82"/>
      <c r="AJ42" s="82"/>
      <c r="AK42" s="82"/>
      <c r="AL42" s="82"/>
      <c r="AM42" s="83"/>
      <c r="AN42" s="83"/>
      <c r="AO42" s="83"/>
      <c r="AP42" s="83"/>
      <c r="AQ42" s="83"/>
      <c r="AR42" s="83"/>
      <c r="AS42" s="44"/>
      <c r="AT42" s="44"/>
      <c r="AU42" s="44"/>
      <c r="AV42" s="44"/>
      <c r="AW42" s="44"/>
      <c r="AX42" s="44"/>
      <c r="AY42" s="44"/>
      <c r="AZ42" s="44"/>
      <c r="BA42" s="44"/>
      <c r="BB42" s="44"/>
      <c r="BC42" s="44"/>
      <c r="BD42" s="44"/>
      <c r="BE42" s="44"/>
      <c r="BF42" s="44"/>
      <c r="BG42" s="44"/>
      <c r="BH42" s="44"/>
      <c r="BI42" s="44"/>
      <c r="BJ42" s="44"/>
      <c r="BK42" s="44"/>
      <c r="BL42" s="44"/>
      <c r="BM42" s="44"/>
      <c r="BN42" s="45"/>
    </row>
    <row r="43" spans="1:66" ht="48" x14ac:dyDescent="0.25">
      <c r="A43" s="46"/>
      <c r="B43" s="84" t="s">
        <v>125</v>
      </c>
      <c r="C43" s="85" t="s">
        <v>126</v>
      </c>
      <c r="D43" s="86" t="s">
        <v>86</v>
      </c>
      <c r="E43" s="86" t="s">
        <v>34</v>
      </c>
      <c r="F43" s="86" t="s">
        <v>122</v>
      </c>
      <c r="G43" s="86" t="s">
        <v>43</v>
      </c>
      <c r="H43" s="86" t="s">
        <v>36</v>
      </c>
      <c r="I43" s="85" t="s">
        <v>127</v>
      </c>
      <c r="J43" s="85" t="s">
        <v>128</v>
      </c>
      <c r="K43" s="85" t="s">
        <v>39</v>
      </c>
      <c r="L43" s="86" t="s">
        <v>129</v>
      </c>
      <c r="M43" s="86"/>
      <c r="N43" s="86" t="s">
        <v>41</v>
      </c>
      <c r="O43" s="86" t="s">
        <v>42</v>
      </c>
      <c r="P43" s="86" t="s">
        <v>130</v>
      </c>
      <c r="Q43" s="85" t="s">
        <v>131</v>
      </c>
      <c r="R43" s="85"/>
      <c r="S43" s="85"/>
      <c r="T43" s="33"/>
      <c r="U43" s="34"/>
      <c r="V43" s="33"/>
      <c r="W43" s="33"/>
      <c r="X43" s="35"/>
      <c r="Y43" s="33"/>
      <c r="Z43" s="49"/>
      <c r="AA43" s="87" t="s">
        <v>132</v>
      </c>
      <c r="AB43" s="88"/>
      <c r="AC43" s="88"/>
      <c r="AD43" s="88"/>
      <c r="AE43" s="88" t="s">
        <v>133</v>
      </c>
      <c r="AF43" s="88"/>
      <c r="AG43" s="88"/>
      <c r="AH43" s="88"/>
      <c r="AI43" s="88" t="s">
        <v>134</v>
      </c>
      <c r="AJ43" s="88"/>
      <c r="AK43" s="88"/>
      <c r="AL43" s="88"/>
      <c r="AM43" s="88" t="s">
        <v>135</v>
      </c>
      <c r="AN43" s="88"/>
      <c r="AO43" s="88"/>
      <c r="AP43" s="88"/>
      <c r="AQ43" s="88" t="s">
        <v>136</v>
      </c>
      <c r="AR43" s="88"/>
      <c r="AS43" s="88"/>
      <c r="AT43" s="88"/>
      <c r="AU43" s="88" t="s">
        <v>137</v>
      </c>
      <c r="AV43" s="88"/>
      <c r="AW43" s="88"/>
      <c r="AX43" s="88"/>
      <c r="AY43" s="88" t="s">
        <v>138</v>
      </c>
      <c r="AZ43" s="88"/>
      <c r="BA43" s="88"/>
      <c r="BB43" s="88"/>
      <c r="BC43" s="44"/>
      <c r="BD43" s="44"/>
      <c r="BE43" s="44"/>
      <c r="BF43" s="44"/>
      <c r="BG43" s="44"/>
      <c r="BH43" s="44"/>
      <c r="BI43" s="44"/>
      <c r="BJ43" s="44"/>
      <c r="BK43" s="44"/>
      <c r="BL43" s="44"/>
      <c r="BM43" s="44"/>
      <c r="BN43" s="45"/>
    </row>
    <row r="44" spans="1:66" ht="15.75" x14ac:dyDescent="0.25">
      <c r="A44" s="46"/>
      <c r="C44" s="85"/>
      <c r="D44" s="86"/>
      <c r="E44" s="86"/>
      <c r="F44" s="86"/>
      <c r="G44" s="86"/>
      <c r="H44" s="86"/>
      <c r="I44" s="85"/>
      <c r="J44" s="85"/>
      <c r="K44" s="85"/>
      <c r="L44" s="86"/>
      <c r="M44" s="86"/>
      <c r="N44" s="86"/>
      <c r="O44" s="86"/>
      <c r="P44" s="86"/>
      <c r="Q44" s="85"/>
      <c r="R44" s="85"/>
      <c r="S44" s="85"/>
      <c r="T44" s="33"/>
      <c r="U44" s="34"/>
      <c r="V44" s="33"/>
      <c r="W44" s="33"/>
      <c r="X44" s="35"/>
      <c r="Y44" s="33"/>
      <c r="Z44" s="49"/>
      <c r="AA44" s="89">
        <v>2010</v>
      </c>
      <c r="AB44" s="90">
        <v>2011</v>
      </c>
      <c r="AC44" s="90">
        <v>2012</v>
      </c>
      <c r="AD44" s="90">
        <v>2013</v>
      </c>
      <c r="AE44" s="90">
        <v>2010</v>
      </c>
      <c r="AF44" s="90">
        <v>2011</v>
      </c>
      <c r="AG44" s="90">
        <v>2012</v>
      </c>
      <c r="AH44" s="90">
        <v>2013</v>
      </c>
      <c r="AI44" s="90">
        <v>2010</v>
      </c>
      <c r="AJ44" s="90">
        <v>2011</v>
      </c>
      <c r="AK44" s="90">
        <v>2012</v>
      </c>
      <c r="AL44" s="90">
        <v>2013</v>
      </c>
      <c r="AM44" s="90">
        <v>2010</v>
      </c>
      <c r="AN44" s="90">
        <v>2011</v>
      </c>
      <c r="AO44" s="90">
        <v>2012</v>
      </c>
      <c r="AP44" s="90">
        <v>2013</v>
      </c>
      <c r="AQ44" s="90">
        <v>2010</v>
      </c>
      <c r="AR44" s="90">
        <v>2011</v>
      </c>
      <c r="AS44" s="90">
        <v>2012</v>
      </c>
      <c r="AT44" s="90">
        <v>2013</v>
      </c>
      <c r="AU44" s="90">
        <v>2010</v>
      </c>
      <c r="AV44" s="90">
        <v>2011</v>
      </c>
      <c r="AW44" s="90">
        <v>2012</v>
      </c>
      <c r="AX44" s="90">
        <v>2013</v>
      </c>
      <c r="AY44" s="90">
        <v>2010</v>
      </c>
      <c r="AZ44" s="90">
        <v>2011</v>
      </c>
      <c r="BA44" s="90">
        <v>2012</v>
      </c>
      <c r="BB44" s="90">
        <v>2013</v>
      </c>
      <c r="BC44" s="44"/>
      <c r="BD44" s="44"/>
      <c r="BE44" s="44"/>
      <c r="BF44" s="44"/>
      <c r="BG44" s="44"/>
      <c r="BH44" s="44"/>
      <c r="BI44" s="44"/>
      <c r="BJ44" s="44"/>
      <c r="BK44" s="44"/>
      <c r="BL44" s="44"/>
      <c r="BM44" s="44"/>
      <c r="BN44" s="45"/>
    </row>
    <row r="45" spans="1:66" ht="15.75" x14ac:dyDescent="0.25">
      <c r="A45" s="46"/>
      <c r="B45" s="91" t="s">
        <v>3</v>
      </c>
      <c r="C45" s="85"/>
      <c r="D45" s="86"/>
      <c r="E45" s="86"/>
      <c r="F45" s="86"/>
      <c r="G45" s="86"/>
      <c r="H45" s="86"/>
      <c r="I45" s="85"/>
      <c r="J45" s="85"/>
      <c r="K45" s="85"/>
      <c r="L45" s="86"/>
      <c r="M45" s="86"/>
      <c r="N45" s="86"/>
      <c r="O45" s="86"/>
      <c r="P45" s="86"/>
      <c r="Q45" s="85"/>
      <c r="R45" s="85"/>
      <c r="S45" s="85"/>
      <c r="T45" s="33"/>
      <c r="U45" s="34"/>
      <c r="V45" s="33"/>
      <c r="W45" s="33"/>
      <c r="X45" s="35"/>
      <c r="Y45" s="33"/>
      <c r="Z45" s="49"/>
      <c r="AA45" s="92">
        <v>864750.64325201698</v>
      </c>
      <c r="AB45" s="92">
        <v>895534.49594345305</v>
      </c>
      <c r="AC45" s="92">
        <v>926287.57895249396</v>
      </c>
      <c r="AD45" s="93">
        <v>946452.24895189796</v>
      </c>
      <c r="AE45" s="94">
        <v>370818.93836158398</v>
      </c>
      <c r="AF45" s="94">
        <v>371961.290141679</v>
      </c>
      <c r="AG45" s="94">
        <v>381104.347313523</v>
      </c>
      <c r="AH45" s="94">
        <v>384412.564810613</v>
      </c>
      <c r="AI45" s="95">
        <v>68465.586885842393</v>
      </c>
      <c r="AJ45" s="92">
        <v>72129.674600420694</v>
      </c>
      <c r="AK45" s="92">
        <v>77482.419894278195</v>
      </c>
      <c r="AL45" s="93">
        <v>79085.498929109293</v>
      </c>
      <c r="AM45" s="94">
        <v>27523.832391398199</v>
      </c>
      <c r="AN45" s="94">
        <v>24523.8441294554</v>
      </c>
      <c r="AO45" s="94">
        <v>23275.955034577099</v>
      </c>
      <c r="AP45" s="94">
        <v>20874.682935471599</v>
      </c>
      <c r="AQ45" s="95">
        <v>30237.9501150258</v>
      </c>
      <c r="AR45" s="92">
        <v>33667.529778900302</v>
      </c>
      <c r="AS45" s="92">
        <v>36451.8567942355</v>
      </c>
      <c r="AT45" s="93">
        <v>40424.382376632799</v>
      </c>
      <c r="AU45" s="96">
        <f>AA45+AE45</f>
        <v>1235569.581613601</v>
      </c>
      <c r="AV45" s="96">
        <f t="shared" ref="AV45:AX53" si="0">AB45+AF45</f>
        <v>1267495.786085132</v>
      </c>
      <c r="AW45" s="96">
        <f t="shared" si="0"/>
        <v>1307391.9262660169</v>
      </c>
      <c r="AX45" s="96">
        <f t="shared" si="0"/>
        <v>1330864.8137625109</v>
      </c>
      <c r="AY45" s="96">
        <f>AQ45+AU45+AI45+AM45</f>
        <v>1361796.9510058674</v>
      </c>
      <c r="AZ45" s="96">
        <f t="shared" ref="AZ45:BB53" si="1">AR45+AV45+AJ45+AN45</f>
        <v>1397816.8345939086</v>
      </c>
      <c r="BA45" s="96">
        <f t="shared" si="1"/>
        <v>1444602.1579891078</v>
      </c>
      <c r="BB45" s="96">
        <f t="shared" si="1"/>
        <v>1471249.3780037246</v>
      </c>
      <c r="BC45" s="44"/>
      <c r="BD45" s="44"/>
      <c r="BE45" s="44"/>
      <c r="BF45" s="44"/>
      <c r="BG45" s="44"/>
      <c r="BH45" s="44"/>
      <c r="BI45" s="44"/>
      <c r="BJ45" s="44"/>
      <c r="BK45" s="44"/>
      <c r="BL45" s="44"/>
      <c r="BM45" s="44"/>
      <c r="BN45" s="45"/>
    </row>
    <row r="46" spans="1:66" s="1" customFormat="1" ht="15.75" x14ac:dyDescent="0.25">
      <c r="A46" s="63"/>
      <c r="B46" s="97" t="s">
        <v>4</v>
      </c>
      <c r="C46" s="85"/>
      <c r="D46" s="86"/>
      <c r="E46" s="86"/>
      <c r="F46" s="86"/>
      <c r="G46" s="86"/>
      <c r="H46" s="86"/>
      <c r="I46" s="85"/>
      <c r="J46" s="85"/>
      <c r="K46" s="85"/>
      <c r="L46" s="86"/>
      <c r="M46" s="86"/>
      <c r="N46" s="86"/>
      <c r="O46" s="86"/>
      <c r="P46" s="86"/>
      <c r="Q46" s="85"/>
      <c r="R46" s="85"/>
      <c r="S46" s="85"/>
      <c r="T46" s="33"/>
      <c r="U46" s="34"/>
      <c r="V46" s="33"/>
      <c r="W46" s="33"/>
      <c r="X46" s="35"/>
      <c r="Y46" s="33"/>
      <c r="Z46" s="49"/>
      <c r="AA46" s="98">
        <v>539828.59574079094</v>
      </c>
      <c r="AB46" s="98">
        <v>567560.86717267509</v>
      </c>
      <c r="AC46" s="98">
        <v>606958.16408443358</v>
      </c>
      <c r="AD46" s="99">
        <v>619654.36795791681</v>
      </c>
      <c r="AE46" s="94">
        <v>217754.03079502229</v>
      </c>
      <c r="AF46" s="94">
        <v>218242.72042466784</v>
      </c>
      <c r="AG46" s="94">
        <v>225897.21294324895</v>
      </c>
      <c r="AH46" s="94">
        <v>223094.65119975316</v>
      </c>
      <c r="AI46" s="100">
        <v>39920.826151691748</v>
      </c>
      <c r="AJ46" s="98">
        <v>39051.626622513118</v>
      </c>
      <c r="AK46" s="98">
        <v>39425.363632579763</v>
      </c>
      <c r="AL46" s="99">
        <v>36728.280763549417</v>
      </c>
      <c r="AM46" s="94">
        <v>24247.825482610791</v>
      </c>
      <c r="AN46" s="94">
        <v>18434.357770308132</v>
      </c>
      <c r="AO46" s="94">
        <v>13494.987055184383</v>
      </c>
      <c r="AP46" s="94">
        <v>9074.1798519372951</v>
      </c>
      <c r="AQ46" s="100">
        <v>44936.140389405999</v>
      </c>
      <c r="AR46" s="98">
        <v>50191.195130222797</v>
      </c>
      <c r="AS46" s="98">
        <v>55472.013802899404</v>
      </c>
      <c r="AT46" s="99">
        <v>61032.250841827161</v>
      </c>
      <c r="AU46" s="96">
        <f t="shared" ref="AU46:AU53" si="2">AA46+AE46</f>
        <v>757582.62653581321</v>
      </c>
      <c r="AV46" s="96">
        <f t="shared" si="0"/>
        <v>785803.58759734291</v>
      </c>
      <c r="AW46" s="96">
        <f t="shared" si="0"/>
        <v>832855.37702768249</v>
      </c>
      <c r="AX46" s="96">
        <f t="shared" si="0"/>
        <v>842749.01915766997</v>
      </c>
      <c r="AY46" s="96">
        <f t="shared" ref="AY46:AY53" si="3">AQ46+AU46+AI46+AM46</f>
        <v>866687.41855952179</v>
      </c>
      <c r="AZ46" s="96">
        <f t="shared" si="1"/>
        <v>893480.76712038706</v>
      </c>
      <c r="BA46" s="96">
        <f t="shared" si="1"/>
        <v>941247.74151834613</v>
      </c>
      <c r="BB46" s="96">
        <f t="shared" si="1"/>
        <v>949583.73061498383</v>
      </c>
      <c r="BC46" s="6"/>
      <c r="BD46" s="6"/>
      <c r="BE46" s="6"/>
      <c r="BF46" s="6"/>
      <c r="BG46" s="6"/>
      <c r="BH46" s="6"/>
      <c r="BI46" s="6"/>
      <c r="BJ46" s="6"/>
      <c r="BK46" s="6"/>
      <c r="BL46" s="6"/>
      <c r="BM46" s="6"/>
      <c r="BN46" s="65"/>
    </row>
    <row r="47" spans="1:66" ht="15.75" x14ac:dyDescent="0.25">
      <c r="A47" s="46"/>
      <c r="B47" s="91" t="s">
        <v>5</v>
      </c>
      <c r="C47" s="85"/>
      <c r="D47" s="86"/>
      <c r="E47" s="86"/>
      <c r="F47" s="86"/>
      <c r="G47" s="86"/>
      <c r="H47" s="86"/>
      <c r="I47" s="85"/>
      <c r="J47" s="85"/>
      <c r="K47" s="85"/>
      <c r="L47" s="86"/>
      <c r="M47" s="86"/>
      <c r="N47" s="86"/>
      <c r="O47" s="86"/>
      <c r="P47" s="86"/>
      <c r="Q47" s="85"/>
      <c r="R47" s="85"/>
      <c r="S47" s="85"/>
      <c r="T47" s="33"/>
      <c r="U47" s="34"/>
      <c r="V47" s="33"/>
      <c r="W47" s="33"/>
      <c r="X47" s="35"/>
      <c r="Y47" s="33"/>
      <c r="Z47" s="49"/>
      <c r="AA47" s="98">
        <v>807602.92861272604</v>
      </c>
      <c r="AB47" s="98">
        <v>823633.43995267502</v>
      </c>
      <c r="AC47" s="98">
        <v>842970.47144828399</v>
      </c>
      <c r="AD47" s="99">
        <v>862158.71005637501</v>
      </c>
      <c r="AE47" s="94">
        <v>127990.286106207</v>
      </c>
      <c r="AF47" s="94">
        <v>124620.22177484199</v>
      </c>
      <c r="AG47" s="94">
        <v>125970.680129032</v>
      </c>
      <c r="AH47" s="94">
        <v>127727.00869596101</v>
      </c>
      <c r="AI47" s="100">
        <v>69113.183127046199</v>
      </c>
      <c r="AJ47" s="98">
        <v>73757.582928035103</v>
      </c>
      <c r="AK47" s="98">
        <v>75988.726912222206</v>
      </c>
      <c r="AL47" s="99">
        <v>77367.603840600699</v>
      </c>
      <c r="AM47" s="94">
        <v>28838.9769521212</v>
      </c>
      <c r="AN47" s="94">
        <v>25982.006558417699</v>
      </c>
      <c r="AO47" s="94">
        <v>24439.547365509901</v>
      </c>
      <c r="AP47" s="94">
        <v>23192.461165242101</v>
      </c>
      <c r="AQ47" s="100">
        <v>8556.8132368891002</v>
      </c>
      <c r="AR47" s="98">
        <v>9772.9641839882206</v>
      </c>
      <c r="AS47" s="98">
        <v>10703.7407136245</v>
      </c>
      <c r="AT47" s="99">
        <v>11643.173214729901</v>
      </c>
      <c r="AU47" s="96">
        <f t="shared" si="2"/>
        <v>935593.21471893298</v>
      </c>
      <c r="AV47" s="96">
        <f t="shared" si="0"/>
        <v>948253.66172751703</v>
      </c>
      <c r="AW47" s="96">
        <f t="shared" si="0"/>
        <v>968941.15157731599</v>
      </c>
      <c r="AX47" s="96">
        <f t="shared" si="0"/>
        <v>989885.71875233599</v>
      </c>
      <c r="AY47" s="96">
        <f t="shared" si="3"/>
        <v>1042102.1880349895</v>
      </c>
      <c r="AZ47" s="96">
        <f t="shared" si="1"/>
        <v>1057766.2153979579</v>
      </c>
      <c r="BA47" s="96">
        <f t="shared" si="1"/>
        <v>1080073.1665686725</v>
      </c>
      <c r="BB47" s="96">
        <f t="shared" si="1"/>
        <v>1102088.9569729087</v>
      </c>
      <c r="BC47" s="44"/>
      <c r="BD47" s="44"/>
      <c r="BE47" s="44"/>
      <c r="BF47" s="44"/>
      <c r="BG47" s="44"/>
      <c r="BH47" s="44"/>
      <c r="BI47" s="44"/>
      <c r="BJ47" s="44"/>
      <c r="BK47" s="44"/>
      <c r="BL47" s="44"/>
      <c r="BM47" s="44"/>
      <c r="BN47" s="45"/>
    </row>
    <row r="48" spans="1:66" ht="15.75" x14ac:dyDescent="0.25">
      <c r="A48" s="46"/>
      <c r="B48" s="91" t="s">
        <v>139</v>
      </c>
      <c r="C48" s="85"/>
      <c r="D48" s="86"/>
      <c r="E48" s="86"/>
      <c r="F48" s="86"/>
      <c r="G48" s="86"/>
      <c r="H48" s="86"/>
      <c r="I48" s="85"/>
      <c r="J48" s="85"/>
      <c r="K48" s="85"/>
      <c r="L48" s="86"/>
      <c r="M48" s="86"/>
      <c r="N48" s="86"/>
      <c r="O48" s="86"/>
      <c r="P48" s="86"/>
      <c r="Q48" s="85"/>
      <c r="R48" s="85"/>
      <c r="S48" s="85"/>
      <c r="T48" s="33"/>
      <c r="U48" s="34"/>
      <c r="V48" s="33"/>
      <c r="W48" s="33"/>
      <c r="X48" s="35"/>
      <c r="Y48" s="33"/>
      <c r="Z48" s="49"/>
      <c r="AA48" s="98">
        <v>553503.44948211301</v>
      </c>
      <c r="AB48" s="98">
        <v>559003.76156118605</v>
      </c>
      <c r="AC48" s="98">
        <v>568309.71369230095</v>
      </c>
      <c r="AD48" s="99">
        <v>563250.281959933</v>
      </c>
      <c r="AE48" s="94">
        <v>198895.151630612</v>
      </c>
      <c r="AF48" s="94">
        <v>200870.60813679799</v>
      </c>
      <c r="AG48" s="94">
        <v>206514.79609932899</v>
      </c>
      <c r="AH48" s="94">
        <v>202012.333455627</v>
      </c>
      <c r="AI48" s="100">
        <v>91473.239622031295</v>
      </c>
      <c r="AJ48" s="98">
        <v>90438.807109308196</v>
      </c>
      <c r="AK48" s="98">
        <v>95689.4426815724</v>
      </c>
      <c r="AL48" s="99">
        <v>96782.587129944994</v>
      </c>
      <c r="AM48" s="94">
        <v>69383.906611652594</v>
      </c>
      <c r="AN48" s="94">
        <v>63509.999659034002</v>
      </c>
      <c r="AO48" s="94">
        <v>60272.050400860498</v>
      </c>
      <c r="AP48" s="94">
        <v>52982.575838667799</v>
      </c>
      <c r="AQ48" s="100">
        <v>50546.166603656297</v>
      </c>
      <c r="AR48" s="98">
        <v>53984.109690150399</v>
      </c>
      <c r="AS48" s="98">
        <v>58063.209325693497</v>
      </c>
      <c r="AT48" s="99">
        <v>59378.098566941502</v>
      </c>
      <c r="AU48" s="96">
        <f t="shared" si="2"/>
        <v>752398.60111272498</v>
      </c>
      <c r="AV48" s="96">
        <f t="shared" si="0"/>
        <v>759874.36969798408</v>
      </c>
      <c r="AW48" s="96">
        <f t="shared" si="0"/>
        <v>774824.50979162997</v>
      </c>
      <c r="AX48" s="96">
        <f t="shared" si="0"/>
        <v>765262.61541555997</v>
      </c>
      <c r="AY48" s="96">
        <f t="shared" si="3"/>
        <v>963801.91395006515</v>
      </c>
      <c r="AZ48" s="96">
        <f t="shared" si="1"/>
        <v>967807.28615647659</v>
      </c>
      <c r="BA48" s="96">
        <f t="shared" si="1"/>
        <v>988849.21219975641</v>
      </c>
      <c r="BB48" s="96">
        <f t="shared" si="1"/>
        <v>974405.87695111427</v>
      </c>
      <c r="BC48" s="44"/>
      <c r="BD48" s="44"/>
      <c r="BE48" s="44"/>
      <c r="BF48" s="44"/>
      <c r="BG48" s="44"/>
      <c r="BH48" s="44"/>
      <c r="BI48" s="44"/>
      <c r="BJ48" s="44"/>
      <c r="BK48" s="44"/>
      <c r="BL48" s="44"/>
      <c r="BM48" s="44"/>
      <c r="BN48" s="45"/>
    </row>
    <row r="49" spans="1:66" ht="15.75" x14ac:dyDescent="0.25">
      <c r="A49" s="46"/>
      <c r="B49" s="91" t="s">
        <v>7</v>
      </c>
      <c r="C49" s="85"/>
      <c r="D49" s="86"/>
      <c r="E49" s="86"/>
      <c r="F49" s="86"/>
      <c r="G49" s="86"/>
      <c r="H49" s="86"/>
      <c r="I49" s="85"/>
      <c r="J49" s="85"/>
      <c r="K49" s="85"/>
      <c r="L49" s="86"/>
      <c r="M49" s="86"/>
      <c r="N49" s="86"/>
      <c r="O49" s="86"/>
      <c r="P49" s="86"/>
      <c r="Q49" s="85"/>
      <c r="R49" s="85"/>
      <c r="S49" s="85"/>
      <c r="T49" s="33"/>
      <c r="U49" s="34"/>
      <c r="V49" s="33"/>
      <c r="W49" s="33"/>
      <c r="X49" s="35"/>
      <c r="Y49" s="33"/>
      <c r="Z49" s="49"/>
      <c r="AA49" s="98">
        <v>549065.343296404</v>
      </c>
      <c r="AB49" s="98">
        <v>565809.70828058699</v>
      </c>
      <c r="AC49" s="98">
        <v>560032.16614073701</v>
      </c>
      <c r="AD49" s="99">
        <v>592339.11599608499</v>
      </c>
      <c r="AE49" s="94">
        <v>293478.61802285298</v>
      </c>
      <c r="AF49" s="94">
        <v>294153.57091160398</v>
      </c>
      <c r="AG49" s="94">
        <v>289525.335728526</v>
      </c>
      <c r="AH49" s="94">
        <v>303567.22828748601</v>
      </c>
      <c r="AI49" s="100">
        <v>68368.058034862799</v>
      </c>
      <c r="AJ49" s="98">
        <v>72453.770936911693</v>
      </c>
      <c r="AK49" s="98">
        <v>74633.042344957197</v>
      </c>
      <c r="AL49" s="99">
        <v>78724.628073760105</v>
      </c>
      <c r="AM49" s="94">
        <v>39649.128232616597</v>
      </c>
      <c r="AN49" s="94">
        <v>37866.758282014103</v>
      </c>
      <c r="AO49" s="94">
        <v>36959.918435820699</v>
      </c>
      <c r="AP49" s="94">
        <v>36943.907983758603</v>
      </c>
      <c r="AQ49" s="100">
        <v>19223.9838012031</v>
      </c>
      <c r="AR49" s="98">
        <v>21719.6223032175</v>
      </c>
      <c r="AS49" s="98">
        <v>22898.4240475804</v>
      </c>
      <c r="AT49" s="99">
        <v>26692.110836745898</v>
      </c>
      <c r="AU49" s="96">
        <f t="shared" si="2"/>
        <v>842543.96131925704</v>
      </c>
      <c r="AV49" s="96">
        <f t="shared" si="0"/>
        <v>859963.27919219097</v>
      </c>
      <c r="AW49" s="96">
        <f t="shared" si="0"/>
        <v>849557.50186926301</v>
      </c>
      <c r="AX49" s="96">
        <f t="shared" si="0"/>
        <v>895906.344283571</v>
      </c>
      <c r="AY49" s="96">
        <f t="shared" si="3"/>
        <v>969785.13138793956</v>
      </c>
      <c r="AZ49" s="96">
        <f t="shared" si="1"/>
        <v>992003.43071433424</v>
      </c>
      <c r="BA49" s="96">
        <f t="shared" si="1"/>
        <v>984048.88669762143</v>
      </c>
      <c r="BB49" s="96">
        <f t="shared" si="1"/>
        <v>1038266.9911778356</v>
      </c>
      <c r="BC49" s="44"/>
      <c r="BD49" s="44"/>
      <c r="BE49" s="44"/>
      <c r="BF49" s="44"/>
      <c r="BG49" s="44"/>
      <c r="BH49" s="44"/>
      <c r="BI49" s="44"/>
      <c r="BJ49" s="44"/>
      <c r="BK49" s="44"/>
      <c r="BL49" s="44"/>
      <c r="BM49" s="44"/>
      <c r="BN49" s="45"/>
    </row>
    <row r="50" spans="1:66" s="1" customFormat="1" ht="15.75" x14ac:dyDescent="0.25">
      <c r="A50" s="63"/>
      <c r="B50" s="97" t="s">
        <v>8</v>
      </c>
      <c r="C50" s="85"/>
      <c r="D50" s="86"/>
      <c r="E50" s="86"/>
      <c r="F50" s="86"/>
      <c r="G50" s="86"/>
      <c r="H50" s="86"/>
      <c r="I50" s="85"/>
      <c r="J50" s="85"/>
      <c r="K50" s="85"/>
      <c r="L50" s="86"/>
      <c r="M50" s="86"/>
      <c r="N50" s="86"/>
      <c r="O50" s="86"/>
      <c r="P50" s="86"/>
      <c r="Q50" s="85"/>
      <c r="R50" s="85"/>
      <c r="S50" s="85"/>
      <c r="T50" s="33"/>
      <c r="U50" s="34"/>
      <c r="V50" s="33"/>
      <c r="W50" s="33"/>
      <c r="X50" s="35"/>
      <c r="Y50" s="33"/>
      <c r="Z50" s="49"/>
      <c r="AA50" s="98">
        <v>241092.686728411</v>
      </c>
      <c r="AB50" s="98">
        <v>249145.901350659</v>
      </c>
      <c r="AC50" s="98">
        <v>248636.87326473801</v>
      </c>
      <c r="AD50" s="99">
        <v>250312.47528553801</v>
      </c>
      <c r="AE50" s="94">
        <v>59872.001557762902</v>
      </c>
      <c r="AF50" s="94">
        <v>56254.971933403802</v>
      </c>
      <c r="AG50" s="94">
        <v>52343.612419735102</v>
      </c>
      <c r="AH50" s="94">
        <v>50054.994971059597</v>
      </c>
      <c r="AI50" s="100">
        <v>25066.986920814299</v>
      </c>
      <c r="AJ50" s="98">
        <v>26153.3677405624</v>
      </c>
      <c r="AK50" s="98">
        <v>27879.221841487299</v>
      </c>
      <c r="AL50" s="99">
        <v>29805.870276489401</v>
      </c>
      <c r="AM50" s="94">
        <v>15420.2250386628</v>
      </c>
      <c r="AN50" s="94">
        <v>13014.804378577401</v>
      </c>
      <c r="AO50" s="94">
        <v>10377.386271253699</v>
      </c>
      <c r="AP50" s="94">
        <v>8191.6464925703604</v>
      </c>
      <c r="AQ50" s="100">
        <v>6240.0193644680603</v>
      </c>
      <c r="AR50" s="98">
        <v>6569.7308733174305</v>
      </c>
      <c r="AS50" s="98">
        <v>6771.9854351448603</v>
      </c>
      <c r="AT50" s="99">
        <v>7332.4462734899798</v>
      </c>
      <c r="AU50" s="96">
        <f t="shared" si="2"/>
        <v>300964.68828617391</v>
      </c>
      <c r="AV50" s="96">
        <f t="shared" si="0"/>
        <v>305400.87328406278</v>
      </c>
      <c r="AW50" s="96">
        <f t="shared" si="0"/>
        <v>300980.48568447313</v>
      </c>
      <c r="AX50" s="96">
        <f t="shared" si="0"/>
        <v>300367.47025659762</v>
      </c>
      <c r="AY50" s="96">
        <f t="shared" si="3"/>
        <v>347691.91961011908</v>
      </c>
      <c r="AZ50" s="96">
        <f t="shared" si="1"/>
        <v>351138.77627652005</v>
      </c>
      <c r="BA50" s="96">
        <f t="shared" si="1"/>
        <v>346009.07923235896</v>
      </c>
      <c r="BB50" s="96">
        <f t="shared" si="1"/>
        <v>345697.43329914735</v>
      </c>
      <c r="BC50" s="6"/>
      <c r="BD50" s="6"/>
      <c r="BE50" s="6"/>
      <c r="BF50" s="6"/>
      <c r="BG50" s="6"/>
      <c r="BH50" s="6"/>
      <c r="BI50" s="6"/>
      <c r="BJ50" s="6"/>
      <c r="BK50" s="6"/>
      <c r="BL50" s="6"/>
      <c r="BM50" s="6"/>
      <c r="BN50" s="65"/>
    </row>
    <row r="51" spans="1:66" s="1" customFormat="1" ht="15.75" x14ac:dyDescent="0.25">
      <c r="A51" s="63"/>
      <c r="B51" s="97" t="s">
        <v>9</v>
      </c>
      <c r="C51" s="85"/>
      <c r="D51" s="86"/>
      <c r="E51" s="86"/>
      <c r="F51" s="86"/>
      <c r="G51" s="86"/>
      <c r="H51" s="86"/>
      <c r="I51" s="85"/>
      <c r="J51" s="85"/>
      <c r="K51" s="85"/>
      <c r="L51" s="86"/>
      <c r="M51" s="86"/>
      <c r="N51" s="86"/>
      <c r="O51" s="86"/>
      <c r="P51" s="86"/>
      <c r="Q51" s="85"/>
      <c r="R51" s="85"/>
      <c r="S51" s="85"/>
      <c r="T51" s="33"/>
      <c r="U51" s="34"/>
      <c r="V51" s="33"/>
      <c r="W51" s="33"/>
      <c r="X51" s="35"/>
      <c r="Y51" s="33"/>
      <c r="Z51" s="49"/>
      <c r="AA51" s="98">
        <v>111610.90240799</v>
      </c>
      <c r="AB51" s="98">
        <v>114594.793986326</v>
      </c>
      <c r="AC51" s="98">
        <v>117436.954028108</v>
      </c>
      <c r="AD51" s="99">
        <v>119129.84716847001</v>
      </c>
      <c r="AE51" s="94">
        <v>40838.3567835473</v>
      </c>
      <c r="AF51" s="94">
        <v>38640.834176655</v>
      </c>
      <c r="AG51" s="94">
        <v>37127.943966863102</v>
      </c>
      <c r="AH51" s="94">
        <v>35658.037183949302</v>
      </c>
      <c r="AI51" s="100">
        <v>48241.720114550502</v>
      </c>
      <c r="AJ51" s="98">
        <v>50891.855772977797</v>
      </c>
      <c r="AK51" s="98">
        <v>54904.330546746402</v>
      </c>
      <c r="AL51" s="99">
        <v>58407.417798298302</v>
      </c>
      <c r="AM51" s="94">
        <v>26031.458867380701</v>
      </c>
      <c r="AN51" s="94">
        <v>23478.274073357799</v>
      </c>
      <c r="AO51" s="94">
        <v>20223.744115483099</v>
      </c>
      <c r="AP51" s="94">
        <v>17119.666879992899</v>
      </c>
      <c r="AQ51" s="100">
        <v>11670.967669694201</v>
      </c>
      <c r="AR51" s="98">
        <v>11992.2043814673</v>
      </c>
      <c r="AS51" s="98">
        <v>12242.752209480101</v>
      </c>
      <c r="AT51" s="99">
        <v>13017.333292715501</v>
      </c>
      <c r="AU51" s="96">
        <f t="shared" si="2"/>
        <v>152449.25919153731</v>
      </c>
      <c r="AV51" s="96">
        <f t="shared" si="0"/>
        <v>153235.62816298101</v>
      </c>
      <c r="AW51" s="96">
        <f t="shared" si="0"/>
        <v>154564.89799497111</v>
      </c>
      <c r="AX51" s="96">
        <f t="shared" si="0"/>
        <v>154787.88435241929</v>
      </c>
      <c r="AY51" s="96">
        <f t="shared" si="3"/>
        <v>238393.40584316268</v>
      </c>
      <c r="AZ51" s="96">
        <f t="shared" si="1"/>
        <v>239597.96239078394</v>
      </c>
      <c r="BA51" s="96">
        <f t="shared" si="1"/>
        <v>241935.72486668071</v>
      </c>
      <c r="BB51" s="96">
        <f t="shared" si="1"/>
        <v>243332.302323426</v>
      </c>
      <c r="BC51" s="6"/>
      <c r="BD51" s="6"/>
      <c r="BE51" s="6"/>
      <c r="BF51" s="6"/>
      <c r="BG51" s="6"/>
      <c r="BH51" s="6"/>
      <c r="BI51" s="6"/>
      <c r="BJ51" s="6"/>
      <c r="BK51" s="6"/>
      <c r="BL51" s="6"/>
      <c r="BM51" s="6"/>
      <c r="BN51" s="65"/>
    </row>
    <row r="52" spans="1:66" s="1" customFormat="1" ht="15.75" x14ac:dyDescent="0.25">
      <c r="A52" s="63"/>
      <c r="B52" s="97" t="s">
        <v>10</v>
      </c>
      <c r="C52" s="85"/>
      <c r="D52" s="86"/>
      <c r="E52" s="86"/>
      <c r="F52" s="86"/>
      <c r="G52" s="86"/>
      <c r="H52" s="86"/>
      <c r="I52" s="85"/>
      <c r="J52" s="85"/>
      <c r="K52" s="85"/>
      <c r="L52" s="86"/>
      <c r="M52" s="86"/>
      <c r="N52" s="86"/>
      <c r="O52" s="86"/>
      <c r="P52" s="86"/>
      <c r="Q52" s="85"/>
      <c r="R52" s="85"/>
      <c r="S52" s="85"/>
      <c r="T52" s="33"/>
      <c r="U52" s="34"/>
      <c r="V52" s="33"/>
      <c r="W52" s="33"/>
      <c r="X52" s="35"/>
      <c r="Y52" s="33"/>
      <c r="Z52" s="49"/>
      <c r="AA52" s="98">
        <v>105810.344958282</v>
      </c>
      <c r="AB52" s="98">
        <v>108843.853421044</v>
      </c>
      <c r="AC52" s="98">
        <v>112345.71913518599</v>
      </c>
      <c r="AD52" s="99">
        <v>115099.059039595</v>
      </c>
      <c r="AE52" s="94">
        <v>96561.815674006706</v>
      </c>
      <c r="AF52" s="94">
        <v>98074.447732942106</v>
      </c>
      <c r="AG52" s="94">
        <v>101478.37094102699</v>
      </c>
      <c r="AH52" s="94">
        <v>106106.25440659899</v>
      </c>
      <c r="AI52" s="100">
        <v>15170.361820947001</v>
      </c>
      <c r="AJ52" s="98">
        <v>15556.336699066</v>
      </c>
      <c r="AK52" s="98">
        <v>16073.268814751</v>
      </c>
      <c r="AL52" s="99">
        <v>16565.829566679298</v>
      </c>
      <c r="AM52" s="94">
        <v>7577.2429443359397</v>
      </c>
      <c r="AN52" s="94">
        <v>6157.0103925444801</v>
      </c>
      <c r="AO52" s="94">
        <v>5011.0405016075201</v>
      </c>
      <c r="AP52" s="94">
        <v>3963.79907625431</v>
      </c>
      <c r="AQ52" s="100">
        <v>6935.4505275492702</v>
      </c>
      <c r="AR52" s="98">
        <v>7704.89560094226</v>
      </c>
      <c r="AS52" s="98">
        <v>8219.5235064088101</v>
      </c>
      <c r="AT52" s="99">
        <v>8879.7811505253394</v>
      </c>
      <c r="AU52" s="96">
        <f t="shared" si="2"/>
        <v>202372.16063228872</v>
      </c>
      <c r="AV52" s="96">
        <f t="shared" si="0"/>
        <v>206918.3011539861</v>
      </c>
      <c r="AW52" s="96">
        <f t="shared" si="0"/>
        <v>213824.090076213</v>
      </c>
      <c r="AX52" s="96">
        <f t="shared" si="0"/>
        <v>221205.31344619399</v>
      </c>
      <c r="AY52" s="96">
        <f t="shared" si="3"/>
        <v>232055.21592512092</v>
      </c>
      <c r="AZ52" s="96">
        <f t="shared" si="1"/>
        <v>236336.54384653884</v>
      </c>
      <c r="BA52" s="96">
        <f t="shared" si="1"/>
        <v>243127.92289898035</v>
      </c>
      <c r="BB52" s="96">
        <f t="shared" si="1"/>
        <v>250614.72323965293</v>
      </c>
      <c r="BC52" s="6"/>
      <c r="BD52" s="6"/>
      <c r="BE52" s="6"/>
      <c r="BF52" s="6"/>
      <c r="BG52" s="6"/>
      <c r="BH52" s="6"/>
      <c r="BI52" s="6"/>
      <c r="BJ52" s="6"/>
      <c r="BK52" s="6"/>
      <c r="BL52" s="6"/>
      <c r="BM52" s="6"/>
      <c r="BN52" s="65"/>
    </row>
    <row r="53" spans="1:66" s="1" customFormat="1" ht="15.75" x14ac:dyDescent="0.25">
      <c r="A53" s="63"/>
      <c r="B53" s="101" t="s">
        <v>140</v>
      </c>
      <c r="C53" s="85"/>
      <c r="D53" s="86"/>
      <c r="E53" s="86"/>
      <c r="F53" s="86"/>
      <c r="G53" s="86"/>
      <c r="H53" s="86"/>
      <c r="I53" s="85"/>
      <c r="J53" s="85"/>
      <c r="K53" s="85"/>
      <c r="L53" s="86"/>
      <c r="M53" s="86"/>
      <c r="N53" s="86"/>
      <c r="O53" s="86"/>
      <c r="P53" s="86"/>
      <c r="Q53" s="85"/>
      <c r="R53" s="85"/>
      <c r="S53" s="85"/>
      <c r="T53" s="33"/>
      <c r="U53" s="34"/>
      <c r="V53" s="33"/>
      <c r="W53" s="33"/>
      <c r="X53" s="35"/>
      <c r="Y53" s="33"/>
      <c r="Z53" s="49"/>
      <c r="AA53" s="98">
        <v>75591.754027861796</v>
      </c>
      <c r="AB53" s="98">
        <v>76032.031014636596</v>
      </c>
      <c r="AC53" s="98">
        <v>75558.759475958999</v>
      </c>
      <c r="AD53" s="98">
        <v>76384.119289553404</v>
      </c>
      <c r="AE53" s="94">
        <v>62214.712990214801</v>
      </c>
      <c r="AF53" s="94">
        <v>64425.068508596298</v>
      </c>
      <c r="AG53" s="94">
        <v>65880.779110495598</v>
      </c>
      <c r="AH53" s="94">
        <v>69182.806905356701</v>
      </c>
      <c r="AI53" s="100">
        <v>7433.67135096321</v>
      </c>
      <c r="AJ53" s="98">
        <v>6972.3557521800703</v>
      </c>
      <c r="AK53" s="98">
        <v>7672.4699722859395</v>
      </c>
      <c r="AL53" s="99">
        <v>8836.2203181176901</v>
      </c>
      <c r="AM53" s="94">
        <v>9016.4351198837394</v>
      </c>
      <c r="AN53" s="94">
        <v>8069.7797781645404</v>
      </c>
      <c r="AO53" s="94">
        <v>7382.8900823496697</v>
      </c>
      <c r="AP53" s="94">
        <v>6936.5436331833998</v>
      </c>
      <c r="AQ53" s="100">
        <v>9695.8657509267505</v>
      </c>
      <c r="AR53" s="98">
        <v>10173.5616206633</v>
      </c>
      <c r="AS53" s="98">
        <v>9977.7338815235198</v>
      </c>
      <c r="AT53" s="99">
        <v>10151.167708429</v>
      </c>
      <c r="AU53" s="96">
        <f t="shared" si="2"/>
        <v>137806.4670180766</v>
      </c>
      <c r="AV53" s="96">
        <f t="shared" si="0"/>
        <v>140457.0995232329</v>
      </c>
      <c r="AW53" s="96">
        <f t="shared" si="0"/>
        <v>141439.53858645458</v>
      </c>
      <c r="AX53" s="96">
        <f t="shared" si="0"/>
        <v>145566.92619491011</v>
      </c>
      <c r="AY53" s="96">
        <f t="shared" si="3"/>
        <v>163952.4392398503</v>
      </c>
      <c r="AZ53" s="96">
        <f t="shared" si="1"/>
        <v>165672.79667424082</v>
      </c>
      <c r="BA53" s="96">
        <f t="shared" si="1"/>
        <v>166472.63252261371</v>
      </c>
      <c r="BB53" s="96">
        <f t="shared" si="1"/>
        <v>171490.85785464023</v>
      </c>
      <c r="BC53" s="6"/>
      <c r="BD53" s="6"/>
      <c r="BE53" s="6"/>
      <c r="BF53" s="6"/>
      <c r="BG53" s="6"/>
      <c r="BH53" s="6"/>
      <c r="BI53" s="6"/>
      <c r="BJ53" s="6"/>
      <c r="BK53" s="6"/>
      <c r="BL53" s="6"/>
      <c r="BM53" s="6"/>
      <c r="BN53" s="65"/>
    </row>
    <row r="54" spans="1:66" ht="15.75" x14ac:dyDescent="0.25">
      <c r="A54" s="46"/>
      <c r="B54" s="101"/>
      <c r="C54" s="85"/>
      <c r="D54" s="86"/>
      <c r="E54" s="86"/>
      <c r="F54" s="86"/>
      <c r="G54" s="86"/>
      <c r="H54" s="86"/>
      <c r="I54" s="85"/>
      <c r="J54" s="85"/>
      <c r="K54" s="85"/>
      <c r="L54" s="86"/>
      <c r="M54" s="86"/>
      <c r="N54" s="86"/>
      <c r="O54" s="86"/>
      <c r="P54" s="86"/>
      <c r="Q54" s="85"/>
      <c r="R54" s="85"/>
      <c r="S54" s="85"/>
      <c r="T54" s="33"/>
      <c r="U54" s="34"/>
      <c r="V54" s="33"/>
      <c r="W54" s="33"/>
      <c r="X54" s="35"/>
      <c r="Y54" s="33"/>
      <c r="Z54" s="49"/>
      <c r="AA54" s="102"/>
      <c r="AB54" s="102"/>
      <c r="AC54" s="102"/>
      <c r="AD54" s="103"/>
      <c r="AE54" s="94"/>
      <c r="AF54" s="94"/>
      <c r="AG54" s="94"/>
      <c r="AH54" s="94"/>
      <c r="AI54" s="104"/>
      <c r="AJ54" s="102"/>
      <c r="AK54" s="102"/>
      <c r="AL54" s="103"/>
      <c r="AM54" s="94"/>
      <c r="AN54" s="94"/>
      <c r="AO54" s="94"/>
      <c r="AP54" s="94"/>
      <c r="AQ54" s="104"/>
      <c r="AR54" s="102"/>
      <c r="AS54" s="102"/>
      <c r="AT54" s="103"/>
      <c r="AU54" s="44"/>
      <c r="AV54" s="44"/>
      <c r="AW54" s="44"/>
      <c r="AX54" s="44"/>
      <c r="AY54" s="44"/>
      <c r="AZ54" s="44"/>
      <c r="BA54" s="44"/>
      <c r="BB54" s="44"/>
      <c r="BC54" s="44"/>
      <c r="BD54" s="44"/>
      <c r="BE54" s="44"/>
      <c r="BF54" s="44"/>
      <c r="BG54" s="44"/>
      <c r="BH54" s="44"/>
      <c r="BI54" s="44"/>
      <c r="BJ54" s="44"/>
      <c r="BK54" s="44"/>
      <c r="BL54" s="44"/>
      <c r="BM54" s="44"/>
      <c r="BN54" s="45"/>
    </row>
    <row r="55" spans="1:66" ht="48" x14ac:dyDescent="0.25">
      <c r="A55" s="46"/>
      <c r="B55" s="84" t="s">
        <v>141</v>
      </c>
      <c r="C55" s="85" t="s">
        <v>142</v>
      </c>
      <c r="D55" s="86" t="s">
        <v>86</v>
      </c>
      <c r="E55" s="86" t="s">
        <v>34</v>
      </c>
      <c r="F55" s="86" t="s">
        <v>122</v>
      </c>
      <c r="G55" s="86" t="s">
        <v>43</v>
      </c>
      <c r="H55" s="86" t="s">
        <v>36</v>
      </c>
      <c r="I55" s="85" t="s">
        <v>143</v>
      </c>
      <c r="J55" s="85" t="s">
        <v>128</v>
      </c>
      <c r="K55" s="85" t="s">
        <v>39</v>
      </c>
      <c r="L55" s="86" t="s">
        <v>129</v>
      </c>
      <c r="M55" s="86"/>
      <c r="N55" s="86" t="s">
        <v>41</v>
      </c>
      <c r="O55" s="86" t="s">
        <v>42</v>
      </c>
      <c r="P55" s="86" t="s">
        <v>91</v>
      </c>
      <c r="Q55" s="85" t="s">
        <v>131</v>
      </c>
      <c r="R55" s="85"/>
      <c r="S55" s="85" t="s">
        <v>144</v>
      </c>
      <c r="T55" s="33"/>
      <c r="U55" s="34"/>
      <c r="V55" s="33"/>
      <c r="W55" s="33"/>
      <c r="X55" s="35"/>
      <c r="Y55" s="33"/>
      <c r="Z55" s="49"/>
      <c r="AA55" s="105" t="s">
        <v>145</v>
      </c>
      <c r="AB55" s="106"/>
      <c r="AC55" s="106"/>
      <c r="AD55" s="106"/>
      <c r="AE55" s="106" t="s">
        <v>146</v>
      </c>
      <c r="AF55" s="106"/>
      <c r="AG55" s="106"/>
      <c r="AH55" s="106"/>
      <c r="AI55" s="106" t="s">
        <v>147</v>
      </c>
      <c r="AJ55" s="106"/>
      <c r="AK55" s="106"/>
      <c r="AL55" s="106"/>
      <c r="AM55" s="106" t="s">
        <v>148</v>
      </c>
      <c r="AN55" s="106"/>
      <c r="AO55" s="106"/>
      <c r="AP55" s="106"/>
      <c r="AQ55" s="106" t="s">
        <v>149</v>
      </c>
      <c r="AR55" s="106"/>
      <c r="AS55" s="106"/>
      <c r="AT55" s="106"/>
      <c r="AU55" s="106" t="s">
        <v>150</v>
      </c>
      <c r="AV55" s="106"/>
      <c r="AW55" s="106"/>
      <c r="AX55" s="106"/>
      <c r="AY55" s="106" t="s">
        <v>138</v>
      </c>
      <c r="AZ55" s="106"/>
      <c r="BA55" s="106"/>
      <c r="BB55" s="106"/>
      <c r="BC55" s="44"/>
      <c r="BD55" s="44"/>
      <c r="BE55" s="44"/>
      <c r="BF55" s="44"/>
      <c r="BG55" s="44"/>
      <c r="BH55" s="44"/>
      <c r="BI55" s="44"/>
      <c r="BJ55" s="44"/>
      <c r="BK55" s="44"/>
      <c r="BL55" s="44"/>
      <c r="BM55" s="44"/>
      <c r="BN55" s="45"/>
    </row>
    <row r="56" spans="1:66" ht="15.75" x14ac:dyDescent="0.25">
      <c r="A56" s="46"/>
      <c r="B56" s="91"/>
      <c r="C56" s="85"/>
      <c r="D56" s="86"/>
      <c r="E56" s="86"/>
      <c r="F56" s="86"/>
      <c r="G56" s="86"/>
      <c r="H56" s="86"/>
      <c r="I56" s="85"/>
      <c r="J56" s="85"/>
      <c r="K56" s="85"/>
      <c r="L56" s="86"/>
      <c r="M56" s="86"/>
      <c r="N56" s="86"/>
      <c r="O56" s="86"/>
      <c r="P56" s="86"/>
      <c r="Q56" s="85"/>
      <c r="R56" s="85"/>
      <c r="S56" s="85"/>
      <c r="T56" s="33"/>
      <c r="U56" s="34"/>
      <c r="V56" s="33"/>
      <c r="W56" s="33"/>
      <c r="X56" s="35"/>
      <c r="Y56" s="33"/>
      <c r="Z56" s="49"/>
      <c r="AA56" s="89">
        <v>2010</v>
      </c>
      <c r="AB56" s="90">
        <v>2011</v>
      </c>
      <c r="AC56" s="90">
        <v>2012</v>
      </c>
      <c r="AD56" s="90">
        <v>2013</v>
      </c>
      <c r="AE56" s="90">
        <v>2010</v>
      </c>
      <c r="AF56" s="90">
        <v>2011</v>
      </c>
      <c r="AG56" s="90">
        <v>2012</v>
      </c>
      <c r="AH56" s="90">
        <v>2013</v>
      </c>
      <c r="AI56" s="90">
        <v>2010</v>
      </c>
      <c r="AJ56" s="90">
        <v>2011</v>
      </c>
      <c r="AK56" s="90">
        <v>2012</v>
      </c>
      <c r="AL56" s="90">
        <v>2013</v>
      </c>
      <c r="AM56" s="90">
        <v>2010</v>
      </c>
      <c r="AN56" s="90">
        <v>2011</v>
      </c>
      <c r="AO56" s="90">
        <v>2012</v>
      </c>
      <c r="AP56" s="90">
        <v>2013</v>
      </c>
      <c r="AQ56" s="90">
        <v>2010</v>
      </c>
      <c r="AR56" s="90">
        <v>2011</v>
      </c>
      <c r="AS56" s="90">
        <v>2012</v>
      </c>
      <c r="AT56" s="90">
        <v>2013</v>
      </c>
      <c r="AU56" s="90">
        <v>2010</v>
      </c>
      <c r="AV56" s="90">
        <v>2011</v>
      </c>
      <c r="AW56" s="90">
        <v>2012</v>
      </c>
      <c r="AX56" s="90">
        <v>2013</v>
      </c>
      <c r="AY56" s="90">
        <v>2010</v>
      </c>
      <c r="AZ56" s="90">
        <v>2011</v>
      </c>
      <c r="BA56" s="90">
        <v>2012</v>
      </c>
      <c r="BB56" s="90">
        <v>2013</v>
      </c>
      <c r="BC56" s="44"/>
      <c r="BD56" s="44"/>
      <c r="BE56" s="44"/>
      <c r="BF56" s="44"/>
      <c r="BG56" s="44"/>
      <c r="BH56" s="44"/>
      <c r="BI56" s="44"/>
      <c r="BJ56" s="44"/>
      <c r="BK56" s="44"/>
      <c r="BL56" s="44"/>
      <c r="BM56" s="44"/>
      <c r="BN56" s="45"/>
    </row>
    <row r="57" spans="1:66" ht="15.75" x14ac:dyDescent="0.25">
      <c r="A57" s="46"/>
      <c r="B57" s="91" t="s">
        <v>3</v>
      </c>
      <c r="C57" s="85"/>
      <c r="D57" s="86"/>
      <c r="E57" s="86"/>
      <c r="F57" s="86"/>
      <c r="G57" s="86"/>
      <c r="H57" s="86"/>
      <c r="I57" s="85"/>
      <c r="J57" s="85"/>
      <c r="K57" s="85"/>
      <c r="L57" s="86"/>
      <c r="M57" s="86"/>
      <c r="N57" s="86"/>
      <c r="O57" s="86"/>
      <c r="P57" s="86"/>
      <c r="Q57" s="85"/>
      <c r="R57" s="85"/>
      <c r="S57" s="85"/>
      <c r="T57" s="33"/>
      <c r="U57" s="34"/>
      <c r="V57" s="33"/>
      <c r="W57" s="33"/>
      <c r="X57" s="35"/>
      <c r="Y57" s="33"/>
      <c r="Z57" s="49"/>
      <c r="AA57" s="107">
        <v>1255590.77760901</v>
      </c>
      <c r="AB57" s="107">
        <v>1293917.3963132601</v>
      </c>
      <c r="AC57" s="107">
        <v>1338178.1367853901</v>
      </c>
      <c r="AD57" s="108">
        <v>1360266.6150952401</v>
      </c>
      <c r="AE57" s="107">
        <v>41649.316790737001</v>
      </c>
      <c r="AF57" s="107">
        <v>44762.9050341357</v>
      </c>
      <c r="AG57" s="107">
        <v>48645.243594625303</v>
      </c>
      <c r="AH57" s="108">
        <v>52607.356391569498</v>
      </c>
      <c r="AI57" s="107">
        <v>35021.156736303303</v>
      </c>
      <c r="AJ57" s="107">
        <v>33968.350274038101</v>
      </c>
      <c r="AK57" s="107">
        <v>35711.227199838999</v>
      </c>
      <c r="AL57" s="108">
        <v>36595.112543057199</v>
      </c>
      <c r="AM57" s="107">
        <v>10847.4468739412</v>
      </c>
      <c r="AN57" s="107">
        <v>11303.963338883301</v>
      </c>
      <c r="AO57" s="107">
        <v>12150.422661695</v>
      </c>
      <c r="AP57" s="108">
        <v>13262.7011957709</v>
      </c>
      <c r="AQ57" s="107">
        <v>18688.276854141401</v>
      </c>
      <c r="AR57" s="107">
        <v>13864.2531591304</v>
      </c>
      <c r="AS57" s="107">
        <v>9917.1637692403492</v>
      </c>
      <c r="AT57" s="108">
        <v>8517.6276074042707</v>
      </c>
      <c r="AU57" s="109">
        <f>AA57+AE57+AI57</f>
        <v>1332261.2511360503</v>
      </c>
      <c r="AV57" s="109">
        <f t="shared" ref="AV57:AX65" si="4">AB57+AF57+AJ57</f>
        <v>1372648.6516214339</v>
      </c>
      <c r="AW57" s="109">
        <f t="shared" si="4"/>
        <v>1422534.6075798543</v>
      </c>
      <c r="AX57" s="109">
        <f t="shared" si="4"/>
        <v>1449469.0840298668</v>
      </c>
      <c r="AY57" s="109">
        <f>AU57+AM57+AQ57</f>
        <v>1361796.9748641329</v>
      </c>
      <c r="AZ57" s="109">
        <f t="shared" ref="AZ57:BB65" si="5">AV57+AN57+AR57</f>
        <v>1397816.8681194477</v>
      </c>
      <c r="BA57" s="109">
        <f t="shared" si="5"/>
        <v>1444602.1940107895</v>
      </c>
      <c r="BB57" s="109">
        <f t="shared" si="5"/>
        <v>1471249.412833042</v>
      </c>
      <c r="BC57" s="44"/>
      <c r="BD57" s="44"/>
      <c r="BE57" s="44"/>
      <c r="BF57" s="44"/>
      <c r="BG57" s="44"/>
      <c r="BH57" s="44"/>
      <c r="BI57" s="44"/>
      <c r="BJ57" s="44"/>
      <c r="BK57" s="44"/>
      <c r="BL57" s="44"/>
      <c r="BM57" s="44"/>
      <c r="BN57" s="45"/>
    </row>
    <row r="58" spans="1:66" s="1" customFormat="1" ht="15.75" x14ac:dyDescent="0.25">
      <c r="A58" s="63"/>
      <c r="B58" s="97" t="s">
        <v>4</v>
      </c>
      <c r="C58" s="85"/>
      <c r="D58" s="86"/>
      <c r="E58" s="86"/>
      <c r="F58" s="86"/>
      <c r="G58" s="86"/>
      <c r="H58" s="86"/>
      <c r="I58" s="85"/>
      <c r="J58" s="85"/>
      <c r="K58" s="85"/>
      <c r="L58" s="86"/>
      <c r="M58" s="86"/>
      <c r="N58" s="86"/>
      <c r="O58" s="86"/>
      <c r="P58" s="86"/>
      <c r="Q58" s="85"/>
      <c r="R58" s="85"/>
      <c r="S58" s="85"/>
      <c r="T58" s="33"/>
      <c r="U58" s="34"/>
      <c r="V58" s="33"/>
      <c r="W58" s="33"/>
      <c r="X58" s="35"/>
      <c r="Y58" s="33"/>
      <c r="Z58" s="49"/>
      <c r="AA58" s="107">
        <v>700192.96582703316</v>
      </c>
      <c r="AB58" s="107">
        <v>730959.59420460381</v>
      </c>
      <c r="AC58" s="107">
        <v>774704.03514258133</v>
      </c>
      <c r="AD58" s="110">
        <v>780361.40254057746</v>
      </c>
      <c r="AE58" s="107">
        <v>20368.835750554084</v>
      </c>
      <c r="AF58" s="107">
        <v>20055.745428831466</v>
      </c>
      <c r="AG58" s="107">
        <v>20065.184526172212</v>
      </c>
      <c r="AH58" s="110">
        <v>20143.303776769499</v>
      </c>
      <c r="AI58" s="107">
        <v>125501.75570957123</v>
      </c>
      <c r="AJ58" s="107">
        <v>125209.19847138209</v>
      </c>
      <c r="AK58" s="107">
        <v>131186.35003586346</v>
      </c>
      <c r="AL58" s="110">
        <v>131240.28032223851</v>
      </c>
      <c r="AM58" s="107">
        <v>3087.92907963886</v>
      </c>
      <c r="AN58" s="107">
        <v>3361.9054607606631</v>
      </c>
      <c r="AO58" s="107">
        <v>3543.1868233605933</v>
      </c>
      <c r="AP58" s="110">
        <v>3843.2943056574859</v>
      </c>
      <c r="AQ58" s="107">
        <v>17535.947376823642</v>
      </c>
      <c r="AR58" s="107">
        <v>13894.344984243946</v>
      </c>
      <c r="AS58" s="107">
        <v>11749.008460726878</v>
      </c>
      <c r="AT58" s="110">
        <v>13995.472149516039</v>
      </c>
      <c r="AU58" s="109">
        <f t="shared" ref="AU58:AU65" si="6">AA58+AE58+AI58</f>
        <v>846063.55728715844</v>
      </c>
      <c r="AV58" s="109">
        <f t="shared" si="4"/>
        <v>876224.53810481727</v>
      </c>
      <c r="AW58" s="109">
        <f t="shared" si="4"/>
        <v>925955.56970461702</v>
      </c>
      <c r="AX58" s="109">
        <f t="shared" si="4"/>
        <v>931744.98663958558</v>
      </c>
      <c r="AY58" s="109">
        <f t="shared" ref="AY58:AY65" si="7">AU58+AM58+AQ58</f>
        <v>866687.43374362099</v>
      </c>
      <c r="AZ58" s="109">
        <f t="shared" si="5"/>
        <v>893480.78854982194</v>
      </c>
      <c r="BA58" s="109">
        <f t="shared" si="5"/>
        <v>941247.76498870447</v>
      </c>
      <c r="BB58" s="109">
        <f t="shared" si="5"/>
        <v>949583.75309475907</v>
      </c>
      <c r="BC58" s="6"/>
      <c r="BD58" s="6"/>
      <c r="BE58" s="6"/>
      <c r="BF58" s="6"/>
      <c r="BG58" s="6"/>
      <c r="BH58" s="6"/>
      <c r="BI58" s="6"/>
      <c r="BJ58" s="6"/>
      <c r="BK58" s="6"/>
      <c r="BL58" s="6"/>
      <c r="BM58" s="6"/>
      <c r="BN58" s="65"/>
    </row>
    <row r="59" spans="1:66" ht="15.75" x14ac:dyDescent="0.25">
      <c r="A59" s="46"/>
      <c r="B59" s="91" t="s">
        <v>5</v>
      </c>
      <c r="C59" s="85"/>
      <c r="D59" s="86"/>
      <c r="E59" s="86"/>
      <c r="F59" s="86"/>
      <c r="G59" s="86"/>
      <c r="H59" s="86"/>
      <c r="I59" s="85"/>
      <c r="J59" s="85"/>
      <c r="K59" s="85"/>
      <c r="L59" s="86"/>
      <c r="M59" s="86"/>
      <c r="N59" s="86"/>
      <c r="O59" s="86"/>
      <c r="P59" s="86"/>
      <c r="Q59" s="85"/>
      <c r="R59" s="85"/>
      <c r="S59" s="85"/>
      <c r="T59" s="33"/>
      <c r="U59" s="34"/>
      <c r="V59" s="33"/>
      <c r="W59" s="33"/>
      <c r="X59" s="35"/>
      <c r="Y59" s="33"/>
      <c r="Z59" s="49"/>
      <c r="AA59" s="107">
        <v>989987.31773982802</v>
      </c>
      <c r="AB59" s="107">
        <v>1012744.18773027</v>
      </c>
      <c r="AC59" s="107">
        <v>1038588.75932557</v>
      </c>
      <c r="AD59" s="110">
        <v>1058178.5964613799</v>
      </c>
      <c r="AE59" s="107">
        <v>1745.0888209009099</v>
      </c>
      <c r="AF59" s="107">
        <v>1917.43540298891</v>
      </c>
      <c r="AG59" s="107">
        <v>1645.2758614813699</v>
      </c>
      <c r="AH59" s="110">
        <v>2065.4862556923499</v>
      </c>
      <c r="AI59" s="107">
        <v>810.25361154027701</v>
      </c>
      <c r="AJ59" s="107">
        <v>693.62910041426801</v>
      </c>
      <c r="AK59" s="107">
        <v>750.82616360788302</v>
      </c>
      <c r="AL59" s="110">
        <v>938.87276443213204</v>
      </c>
      <c r="AM59" s="107">
        <v>18723.640400285502</v>
      </c>
      <c r="AN59" s="107">
        <v>18332.114228415001</v>
      </c>
      <c r="AO59" s="107">
        <v>19213.731234964202</v>
      </c>
      <c r="AP59" s="110">
        <v>21130.474604883399</v>
      </c>
      <c r="AQ59" s="107">
        <v>30835.911041407198</v>
      </c>
      <c r="AR59" s="107">
        <v>24078.881649796898</v>
      </c>
      <c r="AS59" s="107">
        <v>19874.608945003602</v>
      </c>
      <c r="AT59" s="110">
        <v>19775.560754119699</v>
      </c>
      <c r="AU59" s="109">
        <f t="shared" si="6"/>
        <v>992542.66017226921</v>
      </c>
      <c r="AV59" s="109">
        <f t="shared" si="4"/>
        <v>1015355.2522336731</v>
      </c>
      <c r="AW59" s="109">
        <f t="shared" si="4"/>
        <v>1040984.8613506592</v>
      </c>
      <c r="AX59" s="109">
        <f t="shared" si="4"/>
        <v>1061182.9554815043</v>
      </c>
      <c r="AY59" s="109">
        <f t="shared" si="7"/>
        <v>1042102.2116139618</v>
      </c>
      <c r="AZ59" s="109">
        <f t="shared" si="5"/>
        <v>1057766.248111885</v>
      </c>
      <c r="BA59" s="109">
        <f t="shared" si="5"/>
        <v>1080073.201530627</v>
      </c>
      <c r="BB59" s="109">
        <f t="shared" si="5"/>
        <v>1102088.9908405074</v>
      </c>
      <c r="BC59" s="44"/>
      <c r="BD59" s="44"/>
      <c r="BE59" s="44"/>
      <c r="BF59" s="44"/>
      <c r="BG59" s="44"/>
      <c r="BH59" s="44"/>
      <c r="BI59" s="44"/>
      <c r="BJ59" s="44"/>
      <c r="BK59" s="44"/>
      <c r="BL59" s="44"/>
      <c r="BM59" s="44"/>
      <c r="BN59" s="45"/>
    </row>
    <row r="60" spans="1:66" ht="15.75" x14ac:dyDescent="0.25">
      <c r="A60" s="46"/>
      <c r="B60" s="91" t="s">
        <v>139</v>
      </c>
      <c r="C60" s="85"/>
      <c r="D60" s="86"/>
      <c r="E60" s="86"/>
      <c r="F60" s="86"/>
      <c r="G60" s="86"/>
      <c r="H60" s="86"/>
      <c r="I60" s="85"/>
      <c r="J60" s="85"/>
      <c r="K60" s="85"/>
      <c r="L60" s="86"/>
      <c r="M60" s="86"/>
      <c r="N60" s="86"/>
      <c r="O60" s="86"/>
      <c r="P60" s="86"/>
      <c r="Q60" s="85"/>
      <c r="R60" s="85"/>
      <c r="S60" s="85"/>
      <c r="T60" s="33"/>
      <c r="U60" s="34"/>
      <c r="V60" s="33"/>
      <c r="W60" s="33"/>
      <c r="X60" s="35"/>
      <c r="Y60" s="33"/>
      <c r="Z60" s="49"/>
      <c r="AA60" s="107">
        <v>709581.226088973</v>
      </c>
      <c r="AB60" s="107">
        <v>726168.93858448497</v>
      </c>
      <c r="AC60" s="107">
        <v>748975.11083609599</v>
      </c>
      <c r="AD60" s="110">
        <v>748996.034103279</v>
      </c>
      <c r="AE60" s="107">
        <v>94753.940242714307</v>
      </c>
      <c r="AF60" s="107">
        <v>90342.882138266199</v>
      </c>
      <c r="AG60" s="107">
        <v>89049.237669308903</v>
      </c>
      <c r="AH60" s="110">
        <v>76741.852574914097</v>
      </c>
      <c r="AI60" s="107">
        <v>125406.80223511699</v>
      </c>
      <c r="AJ60" s="107">
        <v>118827.515181208</v>
      </c>
      <c r="AK60" s="107">
        <v>119115.88617382701</v>
      </c>
      <c r="AL60" s="110">
        <v>115746.662727843</v>
      </c>
      <c r="AM60" s="107">
        <v>8366.7980540187109</v>
      </c>
      <c r="AN60" s="107">
        <v>9383.6173695214802</v>
      </c>
      <c r="AO60" s="107">
        <v>9632.1917890607892</v>
      </c>
      <c r="AP60" s="110">
        <v>12085.660226534599</v>
      </c>
      <c r="AQ60" s="107">
        <v>25692.307199955201</v>
      </c>
      <c r="AR60" s="107">
        <v>23083.503532161401</v>
      </c>
      <c r="AS60" s="107">
        <v>22076.7857069645</v>
      </c>
      <c r="AT60" s="110">
        <v>20835.706039799901</v>
      </c>
      <c r="AU60" s="109">
        <f t="shared" si="6"/>
        <v>929741.96856680419</v>
      </c>
      <c r="AV60" s="109">
        <f t="shared" si="4"/>
        <v>935339.33590395923</v>
      </c>
      <c r="AW60" s="109">
        <f t="shared" si="4"/>
        <v>957140.23467923189</v>
      </c>
      <c r="AX60" s="109">
        <f t="shared" si="4"/>
        <v>941484.54940603615</v>
      </c>
      <c r="AY60" s="109">
        <f t="shared" si="7"/>
        <v>963801.07382077817</v>
      </c>
      <c r="AZ60" s="109">
        <f t="shared" si="5"/>
        <v>967806.45680564211</v>
      </c>
      <c r="BA60" s="109">
        <f t="shared" si="5"/>
        <v>988849.21217525727</v>
      </c>
      <c r="BB60" s="109">
        <f t="shared" si="5"/>
        <v>974405.9156723707</v>
      </c>
      <c r="BC60" s="44"/>
      <c r="BD60" s="44"/>
      <c r="BE60" s="44"/>
      <c r="BF60" s="44"/>
      <c r="BG60" s="44"/>
      <c r="BH60" s="44"/>
      <c r="BI60" s="44"/>
      <c r="BJ60" s="44"/>
      <c r="BK60" s="44"/>
      <c r="BL60" s="44"/>
      <c r="BM60" s="44"/>
      <c r="BN60" s="45"/>
    </row>
    <row r="61" spans="1:66" ht="15.75" x14ac:dyDescent="0.25">
      <c r="A61" s="46"/>
      <c r="B61" s="91" t="s">
        <v>7</v>
      </c>
      <c r="C61" s="85"/>
      <c r="D61" s="86"/>
      <c r="E61" s="86"/>
      <c r="F61" s="86"/>
      <c r="G61" s="86"/>
      <c r="H61" s="86"/>
      <c r="I61" s="85"/>
      <c r="J61" s="85"/>
      <c r="K61" s="85"/>
      <c r="L61" s="86"/>
      <c r="M61" s="86"/>
      <c r="N61" s="86"/>
      <c r="O61" s="86"/>
      <c r="P61" s="86"/>
      <c r="Q61" s="85"/>
      <c r="R61" s="85"/>
      <c r="S61" s="85"/>
      <c r="T61" s="33"/>
      <c r="U61" s="34"/>
      <c r="V61" s="33"/>
      <c r="W61" s="33"/>
      <c r="X61" s="35"/>
      <c r="Y61" s="33"/>
      <c r="Z61" s="49"/>
      <c r="AA61" s="107">
        <v>865387.76259236899</v>
      </c>
      <c r="AB61" s="107">
        <v>893112.33906334604</v>
      </c>
      <c r="AC61" s="107">
        <v>891429.98429005803</v>
      </c>
      <c r="AD61" s="110">
        <v>944292.35211317695</v>
      </c>
      <c r="AE61" s="107">
        <v>8447.0826377366793</v>
      </c>
      <c r="AF61" s="107">
        <v>7379.9732720627298</v>
      </c>
      <c r="AG61" s="107">
        <v>6995.05320277791</v>
      </c>
      <c r="AH61" s="110">
        <v>7085.4897134358598</v>
      </c>
      <c r="AI61" s="107">
        <v>67653.147644342898</v>
      </c>
      <c r="AJ61" s="107">
        <v>67944.503283934595</v>
      </c>
      <c r="AK61" s="107">
        <v>66872.106010319898</v>
      </c>
      <c r="AL61" s="110">
        <v>68306.341450931999</v>
      </c>
      <c r="AM61" s="107">
        <v>7256.6091521504404</v>
      </c>
      <c r="AN61" s="107">
        <v>8652.0314670749704</v>
      </c>
      <c r="AO61" s="107">
        <v>9540.7583275082998</v>
      </c>
      <c r="AP61" s="110">
        <v>11410.948290658</v>
      </c>
      <c r="AQ61" s="107">
        <v>21040.5463516772</v>
      </c>
      <c r="AR61" s="107">
        <v>14914.607420337201</v>
      </c>
      <c r="AS61" s="107">
        <v>9211.0094045779897</v>
      </c>
      <c r="AT61" s="110">
        <v>7171.8841888331099</v>
      </c>
      <c r="AU61" s="109">
        <f t="shared" si="6"/>
        <v>941487.99287444854</v>
      </c>
      <c r="AV61" s="109">
        <f t="shared" si="4"/>
        <v>968436.81561934331</v>
      </c>
      <c r="AW61" s="109">
        <f t="shared" si="4"/>
        <v>965297.14350315579</v>
      </c>
      <c r="AX61" s="109">
        <f t="shared" si="4"/>
        <v>1019684.1832775448</v>
      </c>
      <c r="AY61" s="109">
        <f t="shared" si="7"/>
        <v>969785.14837827615</v>
      </c>
      <c r="AZ61" s="109">
        <f t="shared" si="5"/>
        <v>992003.45450675546</v>
      </c>
      <c r="BA61" s="109">
        <f t="shared" si="5"/>
        <v>984048.91123524215</v>
      </c>
      <c r="BB61" s="109">
        <f t="shared" si="5"/>
        <v>1038267.0157570358</v>
      </c>
      <c r="BC61" s="44"/>
      <c r="BD61" s="44"/>
      <c r="BE61" s="44"/>
      <c r="BF61" s="44"/>
      <c r="BG61" s="44"/>
      <c r="BH61" s="44"/>
      <c r="BI61" s="44"/>
      <c r="BJ61" s="44"/>
      <c r="BK61" s="44"/>
      <c r="BL61" s="44"/>
      <c r="BM61" s="44"/>
      <c r="BN61" s="45"/>
    </row>
    <row r="62" spans="1:66" s="1" customFormat="1" ht="15.75" x14ac:dyDescent="0.25">
      <c r="A62" s="63"/>
      <c r="B62" s="97" t="s">
        <v>8</v>
      </c>
      <c r="C62" s="85"/>
      <c r="D62" s="86"/>
      <c r="E62" s="86"/>
      <c r="F62" s="86"/>
      <c r="G62" s="86"/>
      <c r="H62" s="86"/>
      <c r="I62" s="85"/>
      <c r="J62" s="85"/>
      <c r="K62" s="85"/>
      <c r="L62" s="86"/>
      <c r="M62" s="86"/>
      <c r="N62" s="86"/>
      <c r="O62" s="86"/>
      <c r="P62" s="86"/>
      <c r="Q62" s="85"/>
      <c r="R62" s="85"/>
      <c r="S62" s="85"/>
      <c r="T62" s="33"/>
      <c r="U62" s="34"/>
      <c r="V62" s="33"/>
      <c r="W62" s="33"/>
      <c r="X62" s="35"/>
      <c r="Y62" s="33"/>
      <c r="Z62" s="49"/>
      <c r="AA62" s="107">
        <v>310855.39960834302</v>
      </c>
      <c r="AB62" s="107">
        <v>318564.90543661098</v>
      </c>
      <c r="AC62" s="107">
        <v>315725.56180151098</v>
      </c>
      <c r="AD62" s="110">
        <v>317256.61497312598</v>
      </c>
      <c r="AE62" s="107">
        <v>2822.9709665667201</v>
      </c>
      <c r="AF62" s="107">
        <v>2809.9667130346302</v>
      </c>
      <c r="AG62" s="107">
        <v>2629.7769140606101</v>
      </c>
      <c r="AH62" s="110">
        <v>2370.2764368296998</v>
      </c>
      <c r="AI62" s="107">
        <v>7605.8870519189504</v>
      </c>
      <c r="AJ62" s="107">
        <v>6486.8884150959602</v>
      </c>
      <c r="AK62" s="107">
        <v>6385.9523355449801</v>
      </c>
      <c r="AL62" s="110">
        <v>6057.3169737612998</v>
      </c>
      <c r="AM62" s="107">
        <v>15312.9286551279</v>
      </c>
      <c r="AN62" s="107">
        <v>12775.2443411191</v>
      </c>
      <c r="AO62" s="107">
        <v>11221.284938216801</v>
      </c>
      <c r="AP62" s="110">
        <v>10319.2376164368</v>
      </c>
      <c r="AQ62" s="107">
        <v>10994.9960696367</v>
      </c>
      <c r="AR62" s="107">
        <v>10389.622532973601</v>
      </c>
      <c r="AS62" s="107">
        <v>10051.6704365471</v>
      </c>
      <c r="AT62" s="110">
        <v>9709.2661451539207</v>
      </c>
      <c r="AU62" s="109">
        <f t="shared" si="6"/>
        <v>321284.25762682868</v>
      </c>
      <c r="AV62" s="109">
        <f t="shared" si="4"/>
        <v>327861.76056474156</v>
      </c>
      <c r="AW62" s="109">
        <f t="shared" si="4"/>
        <v>324741.29105111654</v>
      </c>
      <c r="AX62" s="109">
        <f t="shared" si="4"/>
        <v>325684.20838371699</v>
      </c>
      <c r="AY62" s="109">
        <f t="shared" si="7"/>
        <v>347592.18235159328</v>
      </c>
      <c r="AZ62" s="109">
        <f t="shared" si="5"/>
        <v>351026.62743883423</v>
      </c>
      <c r="BA62" s="109">
        <f t="shared" si="5"/>
        <v>346014.24642588041</v>
      </c>
      <c r="BB62" s="109">
        <f t="shared" si="5"/>
        <v>345712.71214530768</v>
      </c>
      <c r="BC62" s="6"/>
      <c r="BD62" s="6"/>
      <c r="BE62" s="6"/>
      <c r="BF62" s="6"/>
      <c r="BG62" s="6"/>
      <c r="BH62" s="6"/>
      <c r="BI62" s="6"/>
      <c r="BJ62" s="6"/>
      <c r="BK62" s="6"/>
      <c r="BL62" s="6"/>
      <c r="BM62" s="6"/>
      <c r="BN62" s="65"/>
    </row>
    <row r="63" spans="1:66" s="1" customFormat="1" ht="15.75" x14ac:dyDescent="0.25">
      <c r="A63" s="63"/>
      <c r="B63" s="97" t="s">
        <v>9</v>
      </c>
      <c r="C63" s="85"/>
      <c r="D63" s="86"/>
      <c r="E63" s="86"/>
      <c r="F63" s="86"/>
      <c r="G63" s="86"/>
      <c r="H63" s="86"/>
      <c r="I63" s="85"/>
      <c r="J63" s="85"/>
      <c r="K63" s="85"/>
      <c r="L63" s="86"/>
      <c r="M63" s="86"/>
      <c r="N63" s="86"/>
      <c r="O63" s="86"/>
      <c r="P63" s="86"/>
      <c r="Q63" s="85"/>
      <c r="R63" s="85"/>
      <c r="S63" s="85"/>
      <c r="T63" s="33"/>
      <c r="U63" s="34"/>
      <c r="V63" s="33"/>
      <c r="W63" s="33"/>
      <c r="X63" s="35"/>
      <c r="Y63" s="33"/>
      <c r="Z63" s="49"/>
      <c r="AA63" s="111">
        <v>156644.51907083599</v>
      </c>
      <c r="AB63" s="111">
        <v>93383.058469078998</v>
      </c>
      <c r="AC63" s="111">
        <v>162638.988831778</v>
      </c>
      <c r="AD63" s="112">
        <v>166593.82248013499</v>
      </c>
      <c r="AE63" s="111">
        <v>20819.3180726149</v>
      </c>
      <c r="AF63" s="111">
        <v>40339.8812701602</v>
      </c>
      <c r="AG63" s="111">
        <v>23887.649141077702</v>
      </c>
      <c r="AH63" s="112">
        <v>23847.628921568299</v>
      </c>
      <c r="AI63" s="111">
        <v>33812.956668924402</v>
      </c>
      <c r="AJ63" s="111">
        <v>28129.2201318765</v>
      </c>
      <c r="AK63" s="111">
        <v>32267.361304208502</v>
      </c>
      <c r="AL63" s="112">
        <v>31225.6871343516</v>
      </c>
      <c r="AM63" s="111">
        <v>1698.25262701975</v>
      </c>
      <c r="AN63" s="111">
        <v>539.037259362437</v>
      </c>
      <c r="AO63" s="111">
        <v>1571.20281094139</v>
      </c>
      <c r="AP63" s="112">
        <v>1958.7924240515699</v>
      </c>
      <c r="AQ63" s="111">
        <v>25386.525183455</v>
      </c>
      <c r="AR63" s="111">
        <v>3281.49354608267</v>
      </c>
      <c r="AS63" s="111">
        <v>21572.613073242399</v>
      </c>
      <c r="AT63" s="112">
        <v>19711.983872777499</v>
      </c>
      <c r="AU63" s="109">
        <f t="shared" si="6"/>
        <v>211276.79381237528</v>
      </c>
      <c r="AV63" s="109">
        <f t="shared" si="4"/>
        <v>161852.1598711157</v>
      </c>
      <c r="AW63" s="109">
        <f t="shared" si="4"/>
        <v>218793.9992770642</v>
      </c>
      <c r="AX63" s="109">
        <f t="shared" si="4"/>
        <v>221667.1385360549</v>
      </c>
      <c r="AY63" s="109">
        <f t="shared" si="7"/>
        <v>238361.57162285002</v>
      </c>
      <c r="AZ63" s="109">
        <f t="shared" si="5"/>
        <v>165672.6906765608</v>
      </c>
      <c r="BA63" s="109">
        <f t="shared" si="5"/>
        <v>241937.81516124797</v>
      </c>
      <c r="BB63" s="109">
        <f t="shared" si="5"/>
        <v>243337.91483288395</v>
      </c>
      <c r="BC63" s="6"/>
      <c r="BD63" s="6"/>
      <c r="BE63" s="6"/>
      <c r="BF63" s="6"/>
      <c r="BG63" s="6"/>
      <c r="BH63" s="6"/>
      <c r="BI63" s="6"/>
      <c r="BJ63" s="6"/>
      <c r="BK63" s="6"/>
      <c r="BL63" s="6"/>
      <c r="BM63" s="6"/>
      <c r="BN63" s="65"/>
    </row>
    <row r="64" spans="1:66" s="1" customFormat="1" ht="15.75" x14ac:dyDescent="0.25">
      <c r="A64" s="63"/>
      <c r="B64" s="97" t="s">
        <v>10</v>
      </c>
      <c r="C64" s="85"/>
      <c r="D64" s="86"/>
      <c r="E64" s="86"/>
      <c r="F64" s="86"/>
      <c r="G64" s="86"/>
      <c r="H64" s="86"/>
      <c r="I64" s="85"/>
      <c r="J64" s="85"/>
      <c r="K64" s="85"/>
      <c r="L64" s="86"/>
      <c r="M64" s="86"/>
      <c r="N64" s="86"/>
      <c r="O64" s="86"/>
      <c r="P64" s="86"/>
      <c r="Q64" s="85"/>
      <c r="R64" s="85"/>
      <c r="S64" s="85"/>
      <c r="T64" s="33"/>
      <c r="U64" s="34"/>
      <c r="V64" s="33"/>
      <c r="W64" s="33"/>
      <c r="X64" s="35"/>
      <c r="Y64" s="33"/>
      <c r="Z64" s="49"/>
      <c r="AA64" s="107">
        <v>150024.73331103401</v>
      </c>
      <c r="AB64" s="107">
        <v>156525.66038931001</v>
      </c>
      <c r="AC64" s="107">
        <v>163821.14992341501</v>
      </c>
      <c r="AD64" s="110">
        <v>170182.44982715001</v>
      </c>
      <c r="AE64" s="107">
        <v>39983.381597571002</v>
      </c>
      <c r="AF64" s="107">
        <v>40700.226986103102</v>
      </c>
      <c r="AG64" s="107">
        <v>42786.413155660302</v>
      </c>
      <c r="AH64" s="110">
        <v>44360.507160756002</v>
      </c>
      <c r="AI64" s="107">
        <v>23378.1198190658</v>
      </c>
      <c r="AJ64" s="107">
        <v>23922.550563147601</v>
      </c>
      <c r="AK64" s="107">
        <v>24827.8266915436</v>
      </c>
      <c r="AL64" s="110">
        <v>25963.818282504901</v>
      </c>
      <c r="AM64" s="107">
        <v>10338.8553089493</v>
      </c>
      <c r="AN64" s="107">
        <v>7877.2372626918695</v>
      </c>
      <c r="AO64" s="107">
        <v>4980.7352889680997</v>
      </c>
      <c r="AP64" s="110">
        <v>3319.9584559334799</v>
      </c>
      <c r="AQ64" s="107">
        <v>8330.1276655023703</v>
      </c>
      <c r="AR64" s="107">
        <v>7310.8712502899298</v>
      </c>
      <c r="AS64" s="107">
        <v>6711.8008688584996</v>
      </c>
      <c r="AT64" s="110">
        <v>6787.9924044383397</v>
      </c>
      <c r="AU64" s="109">
        <f t="shared" si="6"/>
        <v>213386.23472767079</v>
      </c>
      <c r="AV64" s="109">
        <f t="shared" si="4"/>
        <v>221148.43793856073</v>
      </c>
      <c r="AW64" s="109">
        <f t="shared" si="4"/>
        <v>231435.3897706189</v>
      </c>
      <c r="AX64" s="109">
        <f t="shared" si="4"/>
        <v>240506.77527041093</v>
      </c>
      <c r="AY64" s="109">
        <f t="shared" si="7"/>
        <v>232055.21770212246</v>
      </c>
      <c r="AZ64" s="109">
        <f t="shared" si="5"/>
        <v>236336.54645154253</v>
      </c>
      <c r="BA64" s="109">
        <f t="shared" si="5"/>
        <v>243127.9259284455</v>
      </c>
      <c r="BB64" s="109">
        <f t="shared" si="5"/>
        <v>250614.72613078277</v>
      </c>
      <c r="BC64" s="6"/>
      <c r="BD64" s="6"/>
      <c r="BE64" s="6"/>
      <c r="BF64" s="6"/>
      <c r="BG64" s="6"/>
      <c r="BH64" s="6"/>
      <c r="BI64" s="6"/>
      <c r="BJ64" s="6"/>
      <c r="BK64" s="6"/>
      <c r="BL64" s="6"/>
      <c r="BM64" s="6"/>
      <c r="BN64" s="65"/>
    </row>
    <row r="65" spans="1:66" s="1" customFormat="1" ht="15.75" x14ac:dyDescent="0.25">
      <c r="A65" s="63"/>
      <c r="B65" s="101" t="s">
        <v>140</v>
      </c>
      <c r="C65" s="85"/>
      <c r="D65" s="86"/>
      <c r="E65" s="86"/>
      <c r="F65" s="86"/>
      <c r="G65" s="86"/>
      <c r="H65" s="86"/>
      <c r="I65" s="85"/>
      <c r="J65" s="85"/>
      <c r="K65" s="85"/>
      <c r="L65" s="86"/>
      <c r="M65" s="86"/>
      <c r="N65" s="86"/>
      <c r="O65" s="86"/>
      <c r="P65" s="86"/>
      <c r="Q65" s="85"/>
      <c r="R65" s="85"/>
      <c r="S65" s="85"/>
      <c r="T65" s="33"/>
      <c r="U65" s="34"/>
      <c r="V65" s="33"/>
      <c r="W65" s="33"/>
      <c r="X65" s="35"/>
      <c r="Y65" s="33"/>
      <c r="Z65" s="49"/>
      <c r="AA65" s="111">
        <v>93093.787377590401</v>
      </c>
      <c r="AB65" s="111">
        <v>160044.157872599</v>
      </c>
      <c r="AC65" s="111">
        <v>93294.788706213702</v>
      </c>
      <c r="AD65" s="99">
        <v>97358.446396678904</v>
      </c>
      <c r="AE65" s="111">
        <v>36936.956640060998</v>
      </c>
      <c r="AF65" s="111">
        <v>22783.739747851901</v>
      </c>
      <c r="AG65" s="111">
        <v>42822.712229028402</v>
      </c>
      <c r="AH65" s="99">
        <v>43357.114975707598</v>
      </c>
      <c r="AI65" s="111">
        <v>30011.077463695099</v>
      </c>
      <c r="AJ65" s="111">
        <v>32082.4220196559</v>
      </c>
      <c r="AK65" s="111">
        <v>26992.486455499999</v>
      </c>
      <c r="AL65" s="99">
        <v>27526.947206859801</v>
      </c>
      <c r="AM65" s="111">
        <v>489.47548281734601</v>
      </c>
      <c r="AN65" s="111">
        <v>1464.4947083136799</v>
      </c>
      <c r="AO65" s="111">
        <v>534.74668587821998</v>
      </c>
      <c r="AP65" s="99">
        <v>688.09304723477203</v>
      </c>
      <c r="AQ65" s="111">
        <v>3421.0316593174898</v>
      </c>
      <c r="AR65" s="111">
        <v>23187.043061943899</v>
      </c>
      <c r="AS65" s="111">
        <v>2827.8963853703599</v>
      </c>
      <c r="AT65" s="99">
        <v>2560.2554783749902</v>
      </c>
      <c r="AU65" s="109">
        <f t="shared" si="6"/>
        <v>160041.8214813465</v>
      </c>
      <c r="AV65" s="109">
        <f t="shared" si="4"/>
        <v>214910.31964010681</v>
      </c>
      <c r="AW65" s="109">
        <f t="shared" si="4"/>
        <v>163109.98739074211</v>
      </c>
      <c r="AX65" s="109">
        <f t="shared" si="4"/>
        <v>168242.50857924629</v>
      </c>
      <c r="AY65" s="109">
        <f t="shared" si="7"/>
        <v>163952.32862348133</v>
      </c>
      <c r="AZ65" s="109">
        <f t="shared" si="5"/>
        <v>239561.85741036441</v>
      </c>
      <c r="BA65" s="109">
        <f t="shared" si="5"/>
        <v>166472.63046199069</v>
      </c>
      <c r="BB65" s="109">
        <f t="shared" si="5"/>
        <v>171490.85710485606</v>
      </c>
      <c r="BC65" s="6"/>
      <c r="BD65" s="6"/>
      <c r="BE65" s="6"/>
      <c r="BF65" s="6"/>
      <c r="BG65" s="6"/>
      <c r="BH65" s="6"/>
      <c r="BI65" s="6"/>
      <c r="BJ65" s="6"/>
      <c r="BK65" s="6"/>
      <c r="BL65" s="6"/>
      <c r="BM65" s="6"/>
      <c r="BN65" s="65"/>
    </row>
    <row r="66" spans="1:66" ht="48" x14ac:dyDescent="0.25">
      <c r="A66" s="46"/>
      <c r="B66" s="84" t="s">
        <v>151</v>
      </c>
      <c r="C66" s="85" t="s">
        <v>152</v>
      </c>
      <c r="D66" s="86" t="s">
        <v>86</v>
      </c>
      <c r="E66" s="86" t="s">
        <v>34</v>
      </c>
      <c r="F66" s="86" t="s">
        <v>122</v>
      </c>
      <c r="G66" s="86" t="s">
        <v>43</v>
      </c>
      <c r="H66" s="86" t="s">
        <v>36</v>
      </c>
      <c r="I66" s="85" t="s">
        <v>153</v>
      </c>
      <c r="J66" s="85" t="s">
        <v>128</v>
      </c>
      <c r="K66" s="85" t="s">
        <v>39</v>
      </c>
      <c r="L66" s="86" t="s">
        <v>129</v>
      </c>
      <c r="M66" s="86"/>
      <c r="N66" s="86" t="s">
        <v>41</v>
      </c>
      <c r="O66" s="86" t="s">
        <v>42</v>
      </c>
      <c r="P66" s="86" t="s">
        <v>91</v>
      </c>
      <c r="Q66" s="85" t="s">
        <v>131</v>
      </c>
      <c r="R66" s="85"/>
      <c r="S66" s="85" t="s">
        <v>144</v>
      </c>
      <c r="T66" s="33"/>
      <c r="U66" s="34"/>
      <c r="V66" s="33"/>
      <c r="W66" s="33"/>
      <c r="X66" s="35"/>
      <c r="Y66" s="33"/>
      <c r="Z66" s="49"/>
      <c r="AA66" s="87" t="s">
        <v>154</v>
      </c>
      <c r="AB66" s="88"/>
      <c r="AC66" s="88"/>
      <c r="AD66" s="88"/>
      <c r="AE66" s="88" t="s">
        <v>155</v>
      </c>
      <c r="AF66" s="88"/>
      <c r="AG66" s="88"/>
      <c r="AH66" s="88"/>
      <c r="AI66" s="88" t="s">
        <v>156</v>
      </c>
      <c r="AJ66" s="88"/>
      <c r="AK66" s="88"/>
      <c r="AL66" s="88"/>
      <c r="AM66" s="113"/>
      <c r="AN66" s="114"/>
      <c r="AO66" s="114"/>
      <c r="AP66" s="114"/>
      <c r="AQ66" s="114"/>
      <c r="AR66" s="114"/>
      <c r="AS66" s="44"/>
      <c r="AT66" s="44"/>
      <c r="AU66" s="44"/>
      <c r="AV66" s="44"/>
      <c r="AW66" s="44"/>
      <c r="AX66" s="44"/>
      <c r="AY66" s="44"/>
      <c r="AZ66" s="44"/>
      <c r="BA66" s="44"/>
      <c r="BB66" s="44"/>
      <c r="BC66" s="44"/>
      <c r="BD66" s="44"/>
      <c r="BE66" s="44"/>
      <c r="BF66" s="44"/>
      <c r="BG66" s="44"/>
      <c r="BH66" s="44"/>
      <c r="BI66" s="44"/>
      <c r="BJ66" s="44"/>
      <c r="BK66" s="44"/>
      <c r="BL66" s="44"/>
      <c r="BM66" s="44"/>
      <c r="BN66" s="45"/>
    </row>
    <row r="67" spans="1:66" ht="15.75" x14ac:dyDescent="0.25">
      <c r="A67" s="46"/>
      <c r="B67" s="91"/>
      <c r="C67" s="85"/>
      <c r="D67" s="86"/>
      <c r="E67" s="86"/>
      <c r="F67" s="86"/>
      <c r="G67" s="86"/>
      <c r="H67" s="86"/>
      <c r="I67" s="85"/>
      <c r="J67" s="85"/>
      <c r="K67" s="85"/>
      <c r="L67" s="86"/>
      <c r="M67" s="86"/>
      <c r="N67" s="86"/>
      <c r="O67" s="86"/>
      <c r="P67" s="86"/>
      <c r="Q67" s="85"/>
      <c r="R67" s="85"/>
      <c r="S67" s="85"/>
      <c r="T67" s="33"/>
      <c r="U67" s="34"/>
      <c r="V67" s="33"/>
      <c r="W67" s="33"/>
      <c r="X67" s="35"/>
      <c r="Y67" s="33"/>
      <c r="Z67" s="49"/>
      <c r="AA67" s="89">
        <v>2010</v>
      </c>
      <c r="AB67" s="90">
        <v>2011</v>
      </c>
      <c r="AC67" s="90">
        <v>2012</v>
      </c>
      <c r="AD67" s="90">
        <v>2013</v>
      </c>
      <c r="AE67" s="90">
        <v>2010</v>
      </c>
      <c r="AF67" s="90">
        <v>2011</v>
      </c>
      <c r="AG67" s="90">
        <v>2012</v>
      </c>
      <c r="AH67" s="90">
        <v>2013</v>
      </c>
      <c r="AI67" s="90">
        <v>2010</v>
      </c>
      <c r="AJ67" s="90">
        <v>2011</v>
      </c>
      <c r="AK67" s="90">
        <v>2012</v>
      </c>
      <c r="AL67" s="90">
        <v>2013</v>
      </c>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5"/>
    </row>
    <row r="68" spans="1:66" ht="15.75" x14ac:dyDescent="0.25">
      <c r="A68" s="46"/>
      <c r="B68" s="91" t="s">
        <v>3</v>
      </c>
      <c r="C68" s="85"/>
      <c r="D68" s="86"/>
      <c r="E68" s="86"/>
      <c r="F68" s="86"/>
      <c r="G68" s="86"/>
      <c r="H68" s="86"/>
      <c r="I68" s="85"/>
      <c r="J68" s="85"/>
      <c r="K68" s="85"/>
      <c r="L68" s="86"/>
      <c r="M68" s="86"/>
      <c r="N68" s="86"/>
      <c r="O68" s="86"/>
      <c r="P68" s="86"/>
      <c r="Q68" s="85"/>
      <c r="R68" s="85"/>
      <c r="S68" s="85"/>
      <c r="T68" s="33"/>
      <c r="U68" s="34"/>
      <c r="V68" s="33"/>
      <c r="W68" s="33"/>
      <c r="X68" s="35"/>
      <c r="Y68" s="33"/>
      <c r="Z68" s="49"/>
      <c r="AA68" s="94">
        <v>32508.352593616499</v>
      </c>
      <c r="AB68" s="94">
        <v>37190.248877152299</v>
      </c>
      <c r="AC68" s="94">
        <v>37217.149324534097</v>
      </c>
      <c r="AD68" s="93">
        <v>38737.109006619299</v>
      </c>
      <c r="AE68" s="94">
        <v>1187975.64737819</v>
      </c>
      <c r="AF68" s="94">
        <v>1218575.2924333501</v>
      </c>
      <c r="AG68" s="94">
        <v>1256656.65162903</v>
      </c>
      <c r="AH68" s="93">
        <v>1272347.83828055</v>
      </c>
      <c r="AI68" s="94">
        <v>141312.950908973</v>
      </c>
      <c r="AJ68" s="94">
        <v>142051.29288522899</v>
      </c>
      <c r="AK68" s="94">
        <v>150728.35648516301</v>
      </c>
      <c r="AL68" s="93">
        <v>160164.430270871</v>
      </c>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5"/>
    </row>
    <row r="69" spans="1:66" ht="15.75" x14ac:dyDescent="0.25">
      <c r="A69" s="46"/>
      <c r="B69" s="91" t="s">
        <v>4</v>
      </c>
      <c r="C69" s="85"/>
      <c r="D69" s="86"/>
      <c r="E69" s="86"/>
      <c r="F69" s="86"/>
      <c r="G69" s="86"/>
      <c r="H69" s="86"/>
      <c r="I69" s="85"/>
      <c r="J69" s="85"/>
      <c r="K69" s="85"/>
      <c r="L69" s="86"/>
      <c r="M69" s="86"/>
      <c r="N69" s="86"/>
      <c r="O69" s="86"/>
      <c r="P69" s="86"/>
      <c r="Q69" s="85"/>
      <c r="R69" s="85"/>
      <c r="S69" s="85"/>
      <c r="T69" s="33"/>
      <c r="U69" s="34"/>
      <c r="V69" s="33"/>
      <c r="W69" s="33"/>
      <c r="X69" s="35"/>
      <c r="Y69" s="33"/>
      <c r="Z69" s="49"/>
      <c r="AA69" s="94">
        <v>34660.738946873018</v>
      </c>
      <c r="AB69" s="94">
        <v>39564.289190282623</v>
      </c>
      <c r="AC69" s="94">
        <v>40210.944254548493</v>
      </c>
      <c r="AD69" s="99">
        <v>41390.148999318211</v>
      </c>
      <c r="AE69" s="94">
        <v>705279.4665563599</v>
      </c>
      <c r="AF69" s="94">
        <v>731963.99031781266</v>
      </c>
      <c r="AG69" s="94">
        <v>770874.82418440073</v>
      </c>
      <c r="AH69" s="99">
        <v>772951.7417943707</v>
      </c>
      <c r="AI69" s="94">
        <v>126747.21297646061</v>
      </c>
      <c r="AJ69" s="94">
        <v>121952.48735772668</v>
      </c>
      <c r="AK69" s="94">
        <v>130161.97272076213</v>
      </c>
      <c r="AL69" s="99">
        <v>135241.8395336298</v>
      </c>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5"/>
    </row>
    <row r="70" spans="1:66" ht="15.75" x14ac:dyDescent="0.25">
      <c r="A70" s="46"/>
      <c r="B70" s="91" t="s">
        <v>5</v>
      </c>
      <c r="C70" s="85"/>
      <c r="D70" s="86"/>
      <c r="E70" s="86"/>
      <c r="F70" s="86"/>
      <c r="G70" s="86"/>
      <c r="H70" s="86"/>
      <c r="I70" s="85"/>
      <c r="J70" s="85"/>
      <c r="K70" s="85"/>
      <c r="L70" s="86"/>
      <c r="M70" s="86"/>
      <c r="N70" s="86"/>
      <c r="O70" s="86"/>
      <c r="P70" s="86"/>
      <c r="Q70" s="85"/>
      <c r="R70" s="85"/>
      <c r="S70" s="85"/>
      <c r="T70" s="33"/>
      <c r="U70" s="34"/>
      <c r="V70" s="33"/>
      <c r="W70" s="33"/>
      <c r="X70" s="35"/>
      <c r="Y70" s="33"/>
      <c r="Z70" s="49"/>
      <c r="AA70" s="94">
        <v>40285.600904507199</v>
      </c>
      <c r="AB70" s="94">
        <v>43386.314795745602</v>
      </c>
      <c r="AC70" s="94">
        <v>47897.602399851203</v>
      </c>
      <c r="AD70" s="99">
        <v>55758.296231553802</v>
      </c>
      <c r="AE70" s="94">
        <v>945084.56304954295</v>
      </c>
      <c r="AF70" s="94">
        <v>958233.91093161702</v>
      </c>
      <c r="AG70" s="94">
        <v>979991.55595185002</v>
      </c>
      <c r="AH70" s="99">
        <v>999196.55324731697</v>
      </c>
      <c r="AI70" s="94">
        <v>56732.023944098699</v>
      </c>
      <c r="AJ70" s="94">
        <v>56145.989244281402</v>
      </c>
      <c r="AK70" s="94">
        <v>52184.007631401902</v>
      </c>
      <c r="AL70" s="99">
        <v>47134.107019179603</v>
      </c>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5"/>
    </row>
    <row r="71" spans="1:66" ht="15.75" x14ac:dyDescent="0.25">
      <c r="A71" s="46"/>
      <c r="B71" s="91" t="s">
        <v>139</v>
      </c>
      <c r="C71" s="85"/>
      <c r="D71" s="86"/>
      <c r="E71" s="86"/>
      <c r="F71" s="86"/>
      <c r="G71" s="86"/>
      <c r="H71" s="86"/>
      <c r="I71" s="85"/>
      <c r="J71" s="85"/>
      <c r="K71" s="85"/>
      <c r="L71" s="86"/>
      <c r="M71" s="86"/>
      <c r="N71" s="86"/>
      <c r="O71" s="86"/>
      <c r="P71" s="86"/>
      <c r="Q71" s="85"/>
      <c r="R71" s="85"/>
      <c r="S71" s="85"/>
      <c r="T71" s="33"/>
      <c r="U71" s="34"/>
      <c r="V71" s="33"/>
      <c r="W71" s="33"/>
      <c r="X71" s="35"/>
      <c r="Y71" s="33"/>
      <c r="Z71" s="49"/>
      <c r="AA71" s="94">
        <v>20293.132756483901</v>
      </c>
      <c r="AB71" s="94">
        <v>19756.790487590199</v>
      </c>
      <c r="AC71" s="94">
        <v>19876.834012051801</v>
      </c>
      <c r="AD71" s="99">
        <v>19399.397243377702</v>
      </c>
      <c r="AE71" s="94">
        <v>836870.56983906997</v>
      </c>
      <c r="AF71" s="94">
        <v>848197.76656297594</v>
      </c>
      <c r="AG71" s="94">
        <v>873771.01176192705</v>
      </c>
      <c r="AH71" s="99">
        <v>867330.71094415896</v>
      </c>
      <c r="AI71" s="94">
        <v>106637.523522701</v>
      </c>
      <c r="AJ71" s="94">
        <v>99852.069948526594</v>
      </c>
      <c r="AK71" s="94">
        <v>95201.363040248005</v>
      </c>
      <c r="AL71" s="99">
        <v>87675.769684098297</v>
      </c>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5"/>
    </row>
    <row r="72" spans="1:66" ht="15.75" x14ac:dyDescent="0.25">
      <c r="A72" s="46"/>
      <c r="B72" s="91" t="s">
        <v>7</v>
      </c>
      <c r="C72" s="85"/>
      <c r="D72" s="86"/>
      <c r="E72" s="86"/>
      <c r="F72" s="86"/>
      <c r="G72" s="86"/>
      <c r="H72" s="86"/>
      <c r="I72" s="85"/>
      <c r="J72" s="85"/>
      <c r="K72" s="85"/>
      <c r="L72" s="86"/>
      <c r="M72" s="86"/>
      <c r="N72" s="86"/>
      <c r="O72" s="86"/>
      <c r="P72" s="86"/>
      <c r="Q72" s="85"/>
      <c r="R72" s="85"/>
      <c r="S72" s="85"/>
      <c r="T72" s="33"/>
      <c r="U72" s="34"/>
      <c r="V72" s="33"/>
      <c r="W72" s="33"/>
      <c r="X72" s="35"/>
      <c r="Y72" s="33"/>
      <c r="Z72" s="49"/>
      <c r="AA72" s="94">
        <v>43204.363594802897</v>
      </c>
      <c r="AB72" s="94">
        <v>49268.833395172602</v>
      </c>
      <c r="AC72" s="94">
        <v>50532.5089486078</v>
      </c>
      <c r="AD72" s="99">
        <v>58895.343361883803</v>
      </c>
      <c r="AE72" s="94">
        <v>733866.32360419305</v>
      </c>
      <c r="AF72" s="94">
        <v>748263.98415918997</v>
      </c>
      <c r="AG72" s="94">
        <v>734890.46759898402</v>
      </c>
      <c r="AH72" s="99">
        <v>763334.65410441405</v>
      </c>
      <c r="AI72" s="94">
        <v>192714.44409931501</v>
      </c>
      <c r="AJ72" s="94">
        <v>194470.61287724599</v>
      </c>
      <c r="AK72" s="94">
        <v>198625.909775031</v>
      </c>
      <c r="AL72" s="99">
        <v>216036.993396987</v>
      </c>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5"/>
    </row>
    <row r="73" spans="1:66" ht="15.75" x14ac:dyDescent="0.25">
      <c r="A73" s="46"/>
      <c r="B73" s="91" t="s">
        <v>8</v>
      </c>
      <c r="C73" s="85"/>
      <c r="D73" s="86"/>
      <c r="E73" s="86"/>
      <c r="F73" s="86"/>
      <c r="G73" s="86"/>
      <c r="H73" s="86"/>
      <c r="I73" s="85"/>
      <c r="J73" s="85"/>
      <c r="K73" s="85"/>
      <c r="L73" s="86"/>
      <c r="M73" s="86"/>
      <c r="N73" s="86"/>
      <c r="O73" s="86"/>
      <c r="P73" s="86"/>
      <c r="Q73" s="85"/>
      <c r="R73" s="85"/>
      <c r="S73" s="85"/>
      <c r="T73" s="33"/>
      <c r="U73" s="34"/>
      <c r="V73" s="33"/>
      <c r="W73" s="33"/>
      <c r="X73" s="35"/>
      <c r="Y73" s="33"/>
      <c r="Z73" s="49"/>
      <c r="AA73" s="94">
        <v>10302.6200187049</v>
      </c>
      <c r="AB73" s="94">
        <v>9860.64634817156</v>
      </c>
      <c r="AC73" s="94">
        <v>10230.2586012139</v>
      </c>
      <c r="AD73" s="99">
        <v>11252.250010321601</v>
      </c>
      <c r="AE73" s="94">
        <v>298438.477361114</v>
      </c>
      <c r="AF73" s="94">
        <v>306030.15005293401</v>
      </c>
      <c r="AG73" s="94">
        <v>303832.18189288501</v>
      </c>
      <c r="AH73" s="99">
        <v>305351.59136063902</v>
      </c>
      <c r="AI73" s="94">
        <v>38941.312853311603</v>
      </c>
      <c r="AJ73" s="94">
        <v>35235.1544124457</v>
      </c>
      <c r="AK73" s="94">
        <v>31952.141133859299</v>
      </c>
      <c r="AL73" s="99">
        <v>29100.571891209202</v>
      </c>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5"/>
    </row>
    <row r="74" spans="1:66" ht="15.75" x14ac:dyDescent="0.25">
      <c r="A74" s="46"/>
      <c r="B74" s="91" t="s">
        <v>9</v>
      </c>
      <c r="C74" s="85"/>
      <c r="D74" s="86"/>
      <c r="E74" s="86"/>
      <c r="F74" s="86"/>
      <c r="G74" s="86"/>
      <c r="H74" s="86"/>
      <c r="I74" s="85"/>
      <c r="J74" s="85"/>
      <c r="K74" s="85"/>
      <c r="L74" s="86"/>
      <c r="M74" s="86"/>
      <c r="N74" s="86"/>
      <c r="O74" s="86"/>
      <c r="P74" s="86"/>
      <c r="Q74" s="85"/>
      <c r="R74" s="85"/>
      <c r="S74" s="85"/>
      <c r="T74" s="33"/>
      <c r="U74" s="34"/>
      <c r="V74" s="33"/>
      <c r="W74" s="33"/>
      <c r="X74" s="35"/>
      <c r="Y74" s="33"/>
      <c r="Z74" s="49"/>
      <c r="AA74" s="94">
        <v>18732.563327470401</v>
      </c>
      <c r="AB74" s="94">
        <v>17976.366695725501</v>
      </c>
      <c r="AC74" s="94">
        <v>19169.781861334301</v>
      </c>
      <c r="AD74" s="99">
        <v>21223.815810514399</v>
      </c>
      <c r="AE74" s="94">
        <v>166260.371630682</v>
      </c>
      <c r="AF74" s="94">
        <v>172418.44183454299</v>
      </c>
      <c r="AG74" s="94">
        <v>176448.60576966699</v>
      </c>
      <c r="AH74" s="99">
        <v>179140.226526029</v>
      </c>
      <c r="AI74" s="94">
        <v>53396.601098942003</v>
      </c>
      <c r="AJ74" s="94">
        <v>49198.083408114901</v>
      </c>
      <c r="AK74" s="94">
        <v>46319.5385964862</v>
      </c>
      <c r="AL74" s="99">
        <v>42971.055806619202</v>
      </c>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5"/>
    </row>
    <row r="75" spans="1:66" ht="15.75" x14ac:dyDescent="0.25">
      <c r="A75" s="46"/>
      <c r="B75" s="91" t="s">
        <v>10</v>
      </c>
      <c r="C75" s="85"/>
      <c r="D75" s="86"/>
      <c r="E75" s="86"/>
      <c r="F75" s="86"/>
      <c r="G75" s="86"/>
      <c r="H75" s="86"/>
      <c r="I75" s="85"/>
      <c r="J75" s="85"/>
      <c r="K75" s="85"/>
      <c r="L75" s="86"/>
      <c r="M75" s="86"/>
      <c r="N75" s="86"/>
      <c r="O75" s="86"/>
      <c r="P75" s="86"/>
      <c r="Q75" s="85"/>
      <c r="R75" s="85"/>
      <c r="S75" s="85"/>
      <c r="T75" s="33"/>
      <c r="U75" s="34"/>
      <c r="V75" s="33"/>
      <c r="W75" s="33"/>
      <c r="X75" s="35"/>
      <c r="Y75" s="33"/>
      <c r="Z75" s="49"/>
      <c r="AA75" s="94">
        <v>13027.269741569</v>
      </c>
      <c r="AB75" s="94">
        <v>11411.481665237799</v>
      </c>
      <c r="AC75" s="94">
        <v>9466.1117699580991</v>
      </c>
      <c r="AD75" s="99">
        <v>7851.2979317250902</v>
      </c>
      <c r="AE75" s="94">
        <v>201287.79607830301</v>
      </c>
      <c r="AF75" s="94">
        <v>207917.35277032599</v>
      </c>
      <c r="AG75" s="94">
        <v>217367.26173987699</v>
      </c>
      <c r="AH75" s="99">
        <v>226125.73766958999</v>
      </c>
      <c r="AI75" s="94">
        <v>17740.150092772201</v>
      </c>
      <c r="AJ75" s="94">
        <v>17007.709373249199</v>
      </c>
      <c r="AK75" s="94">
        <v>16294.5493387482</v>
      </c>
      <c r="AL75" s="99">
        <v>16637.687598606099</v>
      </c>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5"/>
    </row>
    <row r="76" spans="1:66" ht="15.75" x14ac:dyDescent="0.25">
      <c r="A76" s="46"/>
      <c r="B76" s="101" t="s">
        <v>140</v>
      </c>
      <c r="C76" s="85"/>
      <c r="D76" s="86"/>
      <c r="E76" s="86"/>
      <c r="F76" s="86"/>
      <c r="G76" s="86"/>
      <c r="H76" s="86"/>
      <c r="I76" s="85"/>
      <c r="J76" s="85"/>
      <c r="K76" s="85"/>
      <c r="L76" s="86"/>
      <c r="M76" s="86"/>
      <c r="N76" s="86"/>
      <c r="O76" s="86"/>
      <c r="P76" s="86"/>
      <c r="Q76" s="85"/>
      <c r="R76" s="85"/>
      <c r="S76" s="85"/>
      <c r="T76" s="33"/>
      <c r="U76" s="34"/>
      <c r="V76" s="33"/>
      <c r="W76" s="33"/>
      <c r="X76" s="35"/>
      <c r="Y76" s="33"/>
      <c r="Z76" s="49"/>
      <c r="AA76" s="94">
        <v>8356.6816966494898</v>
      </c>
      <c r="AB76" s="94">
        <v>8393.4549698482006</v>
      </c>
      <c r="AC76" s="94">
        <v>9157.5638061628306</v>
      </c>
      <c r="AD76" s="99">
        <v>10633.521325313</v>
      </c>
      <c r="AE76" s="94">
        <v>141749.043474473</v>
      </c>
      <c r="AF76" s="94">
        <v>143963.227135341</v>
      </c>
      <c r="AG76" s="94">
        <v>143844.64849066199</v>
      </c>
      <c r="AH76" s="99">
        <v>146610.13642800099</v>
      </c>
      <c r="AI76" s="94">
        <v>13846.6126505133</v>
      </c>
      <c r="AJ76" s="94">
        <v>13316.016515310699</v>
      </c>
      <c r="AK76" s="94">
        <v>13470.419741952701</v>
      </c>
      <c r="AL76" s="99">
        <v>14247.200272947501</v>
      </c>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5"/>
    </row>
    <row r="77" spans="1:66" ht="60" x14ac:dyDescent="0.25">
      <c r="A77" s="46"/>
      <c r="B77" s="84" t="s">
        <v>157</v>
      </c>
      <c r="C77" s="85" t="s">
        <v>158</v>
      </c>
      <c r="D77" s="86" t="s">
        <v>86</v>
      </c>
      <c r="E77" s="86" t="s">
        <v>34</v>
      </c>
      <c r="F77" s="86" t="s">
        <v>122</v>
      </c>
      <c r="G77" s="86" t="s">
        <v>43</v>
      </c>
      <c r="H77" s="86" t="s">
        <v>36</v>
      </c>
      <c r="I77" s="85" t="s">
        <v>159</v>
      </c>
      <c r="J77" s="85" t="s">
        <v>128</v>
      </c>
      <c r="K77" s="85" t="s">
        <v>39</v>
      </c>
      <c r="L77" s="86" t="s">
        <v>129</v>
      </c>
      <c r="M77" s="86"/>
      <c r="N77" s="86" t="s">
        <v>41</v>
      </c>
      <c r="O77" s="86" t="s">
        <v>42</v>
      </c>
      <c r="P77" s="86" t="s">
        <v>91</v>
      </c>
      <c r="Q77" s="85" t="s">
        <v>131</v>
      </c>
      <c r="R77" s="85"/>
      <c r="S77" s="85" t="s">
        <v>144</v>
      </c>
      <c r="T77" s="33"/>
      <c r="U77" s="34"/>
      <c r="V77" s="33"/>
      <c r="W77" s="33"/>
      <c r="X77" s="35"/>
      <c r="Y77" s="33"/>
      <c r="Z77" s="49"/>
      <c r="AA77" s="115" t="s">
        <v>160</v>
      </c>
      <c r="AB77" s="116"/>
      <c r="AC77" s="116"/>
      <c r="AD77" s="117"/>
      <c r="AE77" s="118" t="s">
        <v>161</v>
      </c>
      <c r="AF77" s="116"/>
      <c r="AG77" s="116"/>
      <c r="AH77" s="117"/>
      <c r="AI77" s="118" t="s">
        <v>162</v>
      </c>
      <c r="AJ77" s="116"/>
      <c r="AK77" s="116"/>
      <c r="AL77" s="117"/>
      <c r="AM77" s="119" t="s">
        <v>163</v>
      </c>
      <c r="AN77" s="120"/>
      <c r="AO77" s="120"/>
      <c r="AP77" s="87"/>
      <c r="AQ77" s="119" t="s">
        <v>164</v>
      </c>
      <c r="AR77" s="120"/>
      <c r="AS77" s="120"/>
      <c r="AT77" s="87"/>
      <c r="AU77" s="119" t="s">
        <v>165</v>
      </c>
      <c r="AV77" s="120"/>
      <c r="AW77" s="120"/>
      <c r="AX77" s="87"/>
      <c r="AY77" s="119" t="s">
        <v>138</v>
      </c>
      <c r="AZ77" s="120"/>
      <c r="BA77" s="120"/>
      <c r="BB77" s="87"/>
      <c r="BC77" s="44"/>
      <c r="BD77" s="44"/>
      <c r="BE77" s="44"/>
      <c r="BF77" s="44"/>
      <c r="BG77" s="44"/>
      <c r="BH77" s="44"/>
      <c r="BI77" s="44"/>
      <c r="BJ77" s="44"/>
      <c r="BK77" s="44"/>
      <c r="BL77" s="44"/>
      <c r="BM77" s="44"/>
      <c r="BN77" s="45"/>
    </row>
    <row r="78" spans="1:66" ht="15.75" x14ac:dyDescent="0.25">
      <c r="A78" s="46"/>
      <c r="C78" s="85"/>
      <c r="D78" s="86"/>
      <c r="E78" s="86"/>
      <c r="F78" s="86"/>
      <c r="G78" s="86"/>
      <c r="H78" s="86"/>
      <c r="I78" s="85"/>
      <c r="J78" s="85"/>
      <c r="K78" s="85"/>
      <c r="L78" s="86"/>
      <c r="M78" s="86"/>
      <c r="N78" s="86"/>
      <c r="O78" s="86"/>
      <c r="P78" s="86"/>
      <c r="Q78" s="85"/>
      <c r="R78" s="85"/>
      <c r="S78" s="85"/>
      <c r="T78" s="33"/>
      <c r="U78" s="34"/>
      <c r="V78" s="33"/>
      <c r="W78" s="33"/>
      <c r="X78" s="35"/>
      <c r="Y78" s="33"/>
      <c r="Z78" s="49"/>
      <c r="AA78" s="89">
        <v>2010</v>
      </c>
      <c r="AB78" s="90">
        <v>2011</v>
      </c>
      <c r="AC78" s="90">
        <v>2012</v>
      </c>
      <c r="AD78" s="90">
        <v>2013</v>
      </c>
      <c r="AE78" s="90">
        <v>2010</v>
      </c>
      <c r="AF78" s="90">
        <v>2011</v>
      </c>
      <c r="AG78" s="90">
        <v>2012</v>
      </c>
      <c r="AH78" s="90">
        <v>2013</v>
      </c>
      <c r="AI78" s="90">
        <v>2010</v>
      </c>
      <c r="AJ78" s="90">
        <v>2011</v>
      </c>
      <c r="AK78" s="90">
        <v>2012</v>
      </c>
      <c r="AL78" s="90">
        <v>2013</v>
      </c>
      <c r="AM78" s="90">
        <v>2010</v>
      </c>
      <c r="AN78" s="90">
        <v>2011</v>
      </c>
      <c r="AO78" s="90">
        <v>2012</v>
      </c>
      <c r="AP78" s="90">
        <v>2013</v>
      </c>
      <c r="AQ78" s="90">
        <v>2010</v>
      </c>
      <c r="AR78" s="90">
        <v>2011</v>
      </c>
      <c r="AS78" s="90">
        <v>2012</v>
      </c>
      <c r="AT78" s="90">
        <v>2013</v>
      </c>
      <c r="AU78" s="90">
        <v>2010</v>
      </c>
      <c r="AV78" s="90">
        <v>2011</v>
      </c>
      <c r="AW78" s="90">
        <v>2012</v>
      </c>
      <c r="AX78" s="90">
        <v>2013</v>
      </c>
      <c r="AY78" s="90">
        <v>2010</v>
      </c>
      <c r="AZ78" s="90">
        <v>2011</v>
      </c>
      <c r="BA78" s="90">
        <v>2012</v>
      </c>
      <c r="BB78" s="90">
        <v>2013</v>
      </c>
      <c r="BC78" s="44"/>
      <c r="BD78" s="44"/>
      <c r="BE78" s="44"/>
      <c r="BF78" s="44"/>
      <c r="BG78" s="44"/>
      <c r="BH78" s="44"/>
      <c r="BI78" s="44"/>
      <c r="BJ78" s="44"/>
      <c r="BK78" s="44"/>
      <c r="BL78" s="44"/>
      <c r="BM78" s="44"/>
      <c r="BN78" s="45"/>
    </row>
    <row r="79" spans="1:66" ht="15.75" x14ac:dyDescent="0.25">
      <c r="A79" s="46"/>
      <c r="B79" s="91" t="s">
        <v>3</v>
      </c>
      <c r="C79" s="85"/>
      <c r="D79" s="86"/>
      <c r="E79" s="86"/>
      <c r="F79" s="86"/>
      <c r="G79" s="86"/>
      <c r="H79" s="86"/>
      <c r="I79" s="85"/>
      <c r="J79" s="85"/>
      <c r="K79" s="85"/>
      <c r="L79" s="86"/>
      <c r="M79" s="86"/>
      <c r="N79" s="86"/>
      <c r="O79" s="86"/>
      <c r="P79" s="86"/>
      <c r="Q79" s="85"/>
      <c r="R79" s="85"/>
      <c r="S79" s="85"/>
      <c r="T79" s="33"/>
      <c r="U79" s="34"/>
      <c r="V79" s="33"/>
      <c r="W79" s="33"/>
      <c r="X79" s="35"/>
      <c r="Y79" s="33"/>
      <c r="Z79" s="49"/>
      <c r="AA79" s="121">
        <v>1285817.51132848</v>
      </c>
      <c r="AB79" s="121">
        <v>1326106.82475063</v>
      </c>
      <c r="AC79" s="121">
        <v>1375248.11926753</v>
      </c>
      <c r="AD79" s="122">
        <v>1403286.6191584701</v>
      </c>
      <c r="AE79" s="121">
        <v>19552.296290202801</v>
      </c>
      <c r="AF79" s="121">
        <v>19590.037879634099</v>
      </c>
      <c r="AG79" s="121">
        <v>19975.032004418499</v>
      </c>
      <c r="AH79" s="122">
        <v>21396.5522906796</v>
      </c>
      <c r="AI79" s="121">
        <v>23800.828818311002</v>
      </c>
      <c r="AJ79" s="121">
        <v>23005.230432377401</v>
      </c>
      <c r="AK79" s="121">
        <v>22637.004577000502</v>
      </c>
      <c r="AL79" s="122">
        <v>22274.487781084201</v>
      </c>
      <c r="AM79" s="121">
        <v>20144.570217015898</v>
      </c>
      <c r="AN79" s="121">
        <v>18847.9211978317</v>
      </c>
      <c r="AO79" s="121">
        <v>17679.319699436201</v>
      </c>
      <c r="AP79" s="122">
        <v>16401.8733322066</v>
      </c>
      <c r="AQ79" s="121">
        <v>12481.745955498</v>
      </c>
      <c r="AR79" s="121">
        <v>10266.8527760078</v>
      </c>
      <c r="AS79" s="121">
        <v>9062.7412360839298</v>
      </c>
      <c r="AT79" s="122">
        <v>7889.9120113096096</v>
      </c>
      <c r="AU79" s="123">
        <f>AA79+AE79</f>
        <v>1305369.8076186827</v>
      </c>
      <c r="AV79" s="123">
        <f t="shared" ref="AV79:AX87" si="8">AB79+AF79</f>
        <v>1345696.8626302641</v>
      </c>
      <c r="AW79" s="123">
        <f t="shared" si="8"/>
        <v>1395223.1512719486</v>
      </c>
      <c r="AX79" s="123">
        <f t="shared" si="8"/>
        <v>1424683.1714491497</v>
      </c>
      <c r="AY79" s="123">
        <f>AU79+AQ79+AM79+AI79</f>
        <v>1361796.9526095076</v>
      </c>
      <c r="AZ79" s="123">
        <f t="shared" ref="AZ79:BB87" si="9">AV79+AR79+AN79+AJ79</f>
        <v>1397816.8670364809</v>
      </c>
      <c r="BA79" s="123">
        <f t="shared" si="9"/>
        <v>1444602.2167844691</v>
      </c>
      <c r="BB79" s="123">
        <f t="shared" si="9"/>
        <v>1471249.44457375</v>
      </c>
      <c r="BC79" s="44"/>
      <c r="BD79" s="44"/>
      <c r="BE79" s="44"/>
      <c r="BF79" s="44"/>
      <c r="BG79" s="44"/>
      <c r="BH79" s="44"/>
      <c r="BI79" s="44"/>
      <c r="BJ79" s="44"/>
      <c r="BK79" s="44"/>
      <c r="BL79" s="44"/>
      <c r="BM79" s="44"/>
      <c r="BN79" s="45"/>
    </row>
    <row r="80" spans="1:66" ht="15.75" x14ac:dyDescent="0.25">
      <c r="A80" s="46"/>
      <c r="B80" s="91" t="s">
        <v>4</v>
      </c>
      <c r="C80" s="85"/>
      <c r="D80" s="86"/>
      <c r="E80" s="86"/>
      <c r="F80" s="86"/>
      <c r="G80" s="86"/>
      <c r="H80" s="86"/>
      <c r="I80" s="85"/>
      <c r="J80" s="85"/>
      <c r="K80" s="85"/>
      <c r="L80" s="86"/>
      <c r="M80" s="86"/>
      <c r="N80" s="86"/>
      <c r="O80" s="86"/>
      <c r="P80" s="86"/>
      <c r="Q80" s="85"/>
      <c r="R80" s="85"/>
      <c r="S80" s="85"/>
      <c r="T80" s="33"/>
      <c r="U80" s="34"/>
      <c r="V80" s="33"/>
      <c r="W80" s="33"/>
      <c r="X80" s="35"/>
      <c r="Y80" s="33"/>
      <c r="Z80" s="49"/>
      <c r="AA80" s="121">
        <v>699453.76907079841</v>
      </c>
      <c r="AB80" s="121">
        <v>724373.59134666936</v>
      </c>
      <c r="AC80" s="121">
        <v>768839.9692410198</v>
      </c>
      <c r="AD80" s="124">
        <v>780493.09330494446</v>
      </c>
      <c r="AE80" s="121">
        <v>10720.449492814223</v>
      </c>
      <c r="AF80" s="121">
        <v>10354.683833487848</v>
      </c>
      <c r="AG80" s="121">
        <v>10222.607918166992</v>
      </c>
      <c r="AH80" s="124">
        <v>9898.4800668725384</v>
      </c>
      <c r="AI80" s="121">
        <v>25609.884826412719</v>
      </c>
      <c r="AJ80" s="121">
        <v>26850.324477777009</v>
      </c>
      <c r="AK80" s="121">
        <v>27538.364166741383</v>
      </c>
      <c r="AL80" s="124">
        <v>27242.504720148179</v>
      </c>
      <c r="AM80" s="121">
        <v>93972.71284005401</v>
      </c>
      <c r="AN80" s="121">
        <v>97876.389930176912</v>
      </c>
      <c r="AO80" s="121">
        <v>102045.65259479165</v>
      </c>
      <c r="AP80" s="124">
        <v>101333.89621819888</v>
      </c>
      <c r="AQ80" s="121">
        <v>36930.603350044708</v>
      </c>
      <c r="AR80" s="121">
        <v>34025.798269478983</v>
      </c>
      <c r="AS80" s="121">
        <v>32601.185906442039</v>
      </c>
      <c r="AT80" s="124">
        <v>30615.799270894338</v>
      </c>
      <c r="AU80" s="123">
        <f t="shared" ref="AU80:AU87" si="10">AA80+AE80</f>
        <v>710174.21856361267</v>
      </c>
      <c r="AV80" s="123">
        <f t="shared" si="8"/>
        <v>734728.27518015716</v>
      </c>
      <c r="AW80" s="123">
        <f t="shared" si="8"/>
        <v>779062.57715918683</v>
      </c>
      <c r="AX80" s="123">
        <f t="shared" si="8"/>
        <v>790391.57337181701</v>
      </c>
      <c r="AY80" s="123">
        <f t="shared" ref="AY80:AY87" si="11">AU80+AQ80+AM80+AI80</f>
        <v>866687.4195801242</v>
      </c>
      <c r="AZ80" s="123">
        <f t="shared" si="9"/>
        <v>893480.78785759001</v>
      </c>
      <c r="BA80" s="123">
        <f t="shared" si="9"/>
        <v>941247.77982716181</v>
      </c>
      <c r="BB80" s="123">
        <f t="shared" si="9"/>
        <v>949583.77358105849</v>
      </c>
      <c r="BC80" s="44"/>
      <c r="BD80" s="44"/>
      <c r="BE80" s="44"/>
      <c r="BF80" s="44"/>
      <c r="BG80" s="44"/>
      <c r="BH80" s="44"/>
      <c r="BI80" s="44"/>
      <c r="BJ80" s="44"/>
      <c r="BK80" s="44"/>
      <c r="BL80" s="44"/>
      <c r="BM80" s="44"/>
      <c r="BN80" s="45"/>
    </row>
    <row r="81" spans="1:66" ht="15.75" x14ac:dyDescent="0.25">
      <c r="A81" s="46"/>
      <c r="B81" s="91" t="s">
        <v>5</v>
      </c>
      <c r="C81" s="85"/>
      <c r="D81" s="86"/>
      <c r="E81" s="86"/>
      <c r="F81" s="86"/>
      <c r="G81" s="86"/>
      <c r="H81" s="86"/>
      <c r="I81" s="85"/>
      <c r="J81" s="85"/>
      <c r="K81" s="85"/>
      <c r="L81" s="86"/>
      <c r="M81" s="86"/>
      <c r="N81" s="86"/>
      <c r="O81" s="86"/>
      <c r="P81" s="86"/>
      <c r="Q81" s="85"/>
      <c r="R81" s="85"/>
      <c r="S81" s="85"/>
      <c r="T81" s="33"/>
      <c r="U81" s="34"/>
      <c r="V81" s="33"/>
      <c r="W81" s="33"/>
      <c r="X81" s="35"/>
      <c r="Y81" s="33"/>
      <c r="Z81" s="49"/>
      <c r="AA81" s="121">
        <v>976832.20166958496</v>
      </c>
      <c r="AB81" s="121">
        <v>987780.41800927604</v>
      </c>
      <c r="AC81" s="121">
        <v>1006557.16073698</v>
      </c>
      <c r="AD81" s="124">
        <v>1024437.67901707</v>
      </c>
      <c r="AE81" s="121">
        <v>5266.1173023393003</v>
      </c>
      <c r="AF81" s="121">
        <v>5163.9021784816596</v>
      </c>
      <c r="AG81" s="121">
        <v>5837.7870722482103</v>
      </c>
      <c r="AH81" s="124">
        <v>6940.7825210495203</v>
      </c>
      <c r="AI81" s="121">
        <v>43086.448506397901</v>
      </c>
      <c r="AJ81" s="121">
        <v>48446.507667517297</v>
      </c>
      <c r="AK81" s="121">
        <v>51727.665648021801</v>
      </c>
      <c r="AL81" s="124">
        <v>54885.4011398156</v>
      </c>
      <c r="AM81" s="121">
        <v>11301.799621624899</v>
      </c>
      <c r="AN81" s="121">
        <v>11379.465605932999</v>
      </c>
      <c r="AO81" s="121">
        <v>11276.976331842099</v>
      </c>
      <c r="AP81" s="124">
        <v>11336.7718780177</v>
      </c>
      <c r="AQ81" s="121">
        <v>5615.62227756005</v>
      </c>
      <c r="AR81" s="121">
        <v>4995.9491776969298</v>
      </c>
      <c r="AS81" s="121">
        <v>4673.6254137648502</v>
      </c>
      <c r="AT81" s="124">
        <v>4488.3772442783402</v>
      </c>
      <c r="AU81" s="123">
        <f t="shared" si="10"/>
        <v>982098.31897192425</v>
      </c>
      <c r="AV81" s="123">
        <f t="shared" si="8"/>
        <v>992944.32018775772</v>
      </c>
      <c r="AW81" s="123">
        <f t="shared" si="8"/>
        <v>1012394.9478092282</v>
      </c>
      <c r="AX81" s="123">
        <f t="shared" si="8"/>
        <v>1031378.4615381195</v>
      </c>
      <c r="AY81" s="123">
        <f t="shared" si="11"/>
        <v>1042102.1893775071</v>
      </c>
      <c r="AZ81" s="123">
        <f t="shared" si="9"/>
        <v>1057766.2426389051</v>
      </c>
      <c r="BA81" s="123">
        <f t="shared" si="9"/>
        <v>1080073.215202857</v>
      </c>
      <c r="BB81" s="123">
        <f t="shared" si="9"/>
        <v>1102089.0118002312</v>
      </c>
      <c r="BC81" s="44"/>
      <c r="BD81" s="44"/>
      <c r="BE81" s="44"/>
      <c r="BF81" s="44"/>
      <c r="BG81" s="44"/>
      <c r="BH81" s="44"/>
      <c r="BI81" s="44"/>
      <c r="BJ81" s="44"/>
      <c r="BK81" s="44"/>
      <c r="BL81" s="44"/>
      <c r="BM81" s="44"/>
      <c r="BN81" s="45"/>
    </row>
    <row r="82" spans="1:66" ht="15.75" x14ac:dyDescent="0.25">
      <c r="A82" s="46"/>
      <c r="B82" s="91" t="s">
        <v>139</v>
      </c>
      <c r="C82" s="85"/>
      <c r="D82" s="86"/>
      <c r="E82" s="86"/>
      <c r="F82" s="86"/>
      <c r="G82" s="86"/>
      <c r="H82" s="86"/>
      <c r="I82" s="85"/>
      <c r="J82" s="85"/>
      <c r="K82" s="85"/>
      <c r="L82" s="86"/>
      <c r="M82" s="86"/>
      <c r="N82" s="86"/>
      <c r="O82" s="86"/>
      <c r="P82" s="86"/>
      <c r="Q82" s="85"/>
      <c r="R82" s="85"/>
      <c r="S82" s="85"/>
      <c r="T82" s="33"/>
      <c r="U82" s="34"/>
      <c r="V82" s="33"/>
      <c r="W82" s="33"/>
      <c r="X82" s="35"/>
      <c r="Y82" s="33"/>
      <c r="Z82" s="49"/>
      <c r="AA82" s="121">
        <v>833710.74668446602</v>
      </c>
      <c r="AB82" s="121">
        <v>838363.57001323404</v>
      </c>
      <c r="AC82" s="121">
        <v>854072.98436046205</v>
      </c>
      <c r="AD82" s="124">
        <v>842903.60808428796</v>
      </c>
      <c r="AE82" s="121">
        <v>13904.5409566504</v>
      </c>
      <c r="AF82" s="121">
        <v>14026.099892796399</v>
      </c>
      <c r="AG82" s="121">
        <v>14945.7081946936</v>
      </c>
      <c r="AH82" s="124">
        <v>16648.6135489154</v>
      </c>
      <c r="AI82" s="121">
        <v>13086.3243967165</v>
      </c>
      <c r="AJ82" s="121">
        <v>13847.4897433882</v>
      </c>
      <c r="AK82" s="121">
        <v>14984.5236927039</v>
      </c>
      <c r="AL82" s="124">
        <v>15847.5504407599</v>
      </c>
      <c r="AM82" s="121">
        <v>91701.662356386703</v>
      </c>
      <c r="AN82" s="121">
        <v>90863.397624384597</v>
      </c>
      <c r="AO82" s="121">
        <v>94520.723643994803</v>
      </c>
      <c r="AP82" s="124">
        <v>89790.484516011697</v>
      </c>
      <c r="AQ82" s="121">
        <v>11389.702271272699</v>
      </c>
      <c r="AR82" s="121">
        <v>10698.4963102768</v>
      </c>
      <c r="AS82" s="121">
        <v>10324.2178741236</v>
      </c>
      <c r="AT82" s="124">
        <v>9224.2558790964595</v>
      </c>
      <c r="AU82" s="123">
        <f t="shared" si="10"/>
        <v>847615.28764111642</v>
      </c>
      <c r="AV82" s="123">
        <f t="shared" si="8"/>
        <v>852389.66990603041</v>
      </c>
      <c r="AW82" s="123">
        <f t="shared" si="8"/>
        <v>869018.69255515561</v>
      </c>
      <c r="AX82" s="123">
        <f t="shared" si="8"/>
        <v>859552.22163320333</v>
      </c>
      <c r="AY82" s="123">
        <f t="shared" si="11"/>
        <v>963792.97666549229</v>
      </c>
      <c r="AZ82" s="123">
        <f t="shared" si="9"/>
        <v>967799.05358407996</v>
      </c>
      <c r="BA82" s="123">
        <f t="shared" si="9"/>
        <v>988848.1577659779</v>
      </c>
      <c r="BB82" s="123">
        <f t="shared" si="9"/>
        <v>974414.51246907131</v>
      </c>
      <c r="BC82" s="44"/>
      <c r="BD82" s="44"/>
      <c r="BE82" s="44"/>
      <c r="BF82" s="44"/>
      <c r="BG82" s="44"/>
      <c r="BH82" s="44"/>
      <c r="BI82" s="44"/>
      <c r="BJ82" s="44"/>
      <c r="BK82" s="44"/>
      <c r="BL82" s="44"/>
      <c r="BM82" s="44"/>
      <c r="BN82" s="45"/>
    </row>
    <row r="83" spans="1:66" ht="15.75" x14ac:dyDescent="0.25">
      <c r="A83" s="46"/>
      <c r="B83" s="91" t="s">
        <v>7</v>
      </c>
      <c r="C83" s="85"/>
      <c r="D83" s="86"/>
      <c r="E83" s="86"/>
      <c r="F83" s="86"/>
      <c r="G83" s="86"/>
      <c r="H83" s="86"/>
      <c r="I83" s="85"/>
      <c r="J83" s="85"/>
      <c r="K83" s="85"/>
      <c r="L83" s="86"/>
      <c r="M83" s="86"/>
      <c r="N83" s="86"/>
      <c r="O83" s="86"/>
      <c r="P83" s="86"/>
      <c r="Q83" s="85"/>
      <c r="R83" s="85"/>
      <c r="S83" s="85"/>
      <c r="T83" s="33"/>
      <c r="U83" s="34"/>
      <c r="V83" s="33"/>
      <c r="W83" s="33"/>
      <c r="X83" s="35"/>
      <c r="Y83" s="33"/>
      <c r="Z83" s="49"/>
      <c r="AA83" s="121">
        <v>856921.27430624899</v>
      </c>
      <c r="AB83" s="121">
        <v>875500.940677398</v>
      </c>
      <c r="AC83" s="121">
        <v>870687.07477869897</v>
      </c>
      <c r="AD83" s="124">
        <v>920007.082254112</v>
      </c>
      <c r="AE83" s="121">
        <v>7774.8299249915299</v>
      </c>
      <c r="AF83" s="121">
        <v>8373.3463195042805</v>
      </c>
      <c r="AG83" s="121">
        <v>8016.7870583624999</v>
      </c>
      <c r="AH83" s="124">
        <v>8736.8046895369807</v>
      </c>
      <c r="AI83" s="121">
        <v>27306.001002758101</v>
      </c>
      <c r="AJ83" s="121">
        <v>27211.3937408848</v>
      </c>
      <c r="AK83" s="121">
        <v>26315.7940798046</v>
      </c>
      <c r="AL83" s="124">
        <v>26940.749226993499</v>
      </c>
      <c r="AM83" s="121">
        <v>47279.308992904596</v>
      </c>
      <c r="AN83" s="121">
        <v>51957.8670955286</v>
      </c>
      <c r="AO83" s="121">
        <v>52366.392705362799</v>
      </c>
      <c r="AP83" s="124">
        <v>57632.530597906203</v>
      </c>
      <c r="AQ83" s="121">
        <v>30503.7183030466</v>
      </c>
      <c r="AR83" s="121">
        <v>28959.905904879899</v>
      </c>
      <c r="AS83" s="121">
        <v>26662.878126216801</v>
      </c>
      <c r="AT83" s="124">
        <v>24949.871388036801</v>
      </c>
      <c r="AU83" s="123">
        <f t="shared" si="10"/>
        <v>864696.10423124058</v>
      </c>
      <c r="AV83" s="123">
        <f t="shared" si="8"/>
        <v>883874.28699690232</v>
      </c>
      <c r="AW83" s="123">
        <f t="shared" si="8"/>
        <v>878703.86183706147</v>
      </c>
      <c r="AX83" s="123">
        <f t="shared" si="8"/>
        <v>928743.88694364903</v>
      </c>
      <c r="AY83" s="123">
        <f t="shared" si="11"/>
        <v>969785.13252995</v>
      </c>
      <c r="AZ83" s="123">
        <f t="shared" si="9"/>
        <v>992003.45373819571</v>
      </c>
      <c r="BA83" s="123">
        <f t="shared" si="9"/>
        <v>984048.92674844561</v>
      </c>
      <c r="BB83" s="123">
        <f t="shared" si="9"/>
        <v>1038267.0381565855</v>
      </c>
      <c r="BC83" s="44"/>
      <c r="BD83" s="44"/>
      <c r="BE83" s="44"/>
      <c r="BF83" s="44"/>
      <c r="BG83" s="44"/>
      <c r="BH83" s="44"/>
      <c r="BI83" s="44"/>
      <c r="BJ83" s="44"/>
      <c r="BK83" s="44"/>
      <c r="BL83" s="44"/>
      <c r="BM83" s="44"/>
      <c r="BN83" s="45"/>
    </row>
    <row r="84" spans="1:66" ht="15.75" x14ac:dyDescent="0.25">
      <c r="A84" s="46"/>
      <c r="B84" s="91" t="s">
        <v>8</v>
      </c>
      <c r="C84" s="85"/>
      <c r="D84" s="86"/>
      <c r="E84" s="86"/>
      <c r="F84" s="86"/>
      <c r="G84" s="86"/>
      <c r="H84" s="86"/>
      <c r="I84" s="85"/>
      <c r="J84" s="85"/>
      <c r="K84" s="85"/>
      <c r="L84" s="86"/>
      <c r="M84" s="86"/>
      <c r="N84" s="86"/>
      <c r="O84" s="86"/>
      <c r="P84" s="86"/>
      <c r="Q84" s="85"/>
      <c r="R84" s="85"/>
      <c r="S84" s="85"/>
      <c r="T84" s="33"/>
      <c r="U84" s="34"/>
      <c r="V84" s="33"/>
      <c r="W84" s="33"/>
      <c r="X84" s="35"/>
      <c r="Y84" s="33"/>
      <c r="Z84" s="49"/>
      <c r="AA84" s="121">
        <v>249484.18700617299</v>
      </c>
      <c r="AB84" s="121">
        <v>253219.53199166499</v>
      </c>
      <c r="AC84" s="121">
        <v>251582.03986762301</v>
      </c>
      <c r="AD84" s="124">
        <v>253555.029326972</v>
      </c>
      <c r="AE84" s="121">
        <v>68651.343131938804</v>
      </c>
      <c r="AF84" s="121">
        <v>69505.037484715707</v>
      </c>
      <c r="AG84" s="121">
        <v>66585.822185113793</v>
      </c>
      <c r="AH84" s="124">
        <v>63032.228849279098</v>
      </c>
      <c r="AI84" s="121">
        <v>8990.3232556669209</v>
      </c>
      <c r="AJ84" s="121">
        <v>9475.3101018457801</v>
      </c>
      <c r="AK84" s="121">
        <v>10307.164344802901</v>
      </c>
      <c r="AL84" s="124">
        <v>12643.846975365001</v>
      </c>
      <c r="AM84" s="121">
        <v>13507.492598704701</v>
      </c>
      <c r="AN84" s="121">
        <v>12766.472813852301</v>
      </c>
      <c r="AO84" s="121">
        <v>12305.7847814543</v>
      </c>
      <c r="AP84" s="124">
        <v>12074.436680070299</v>
      </c>
      <c r="AQ84" s="121">
        <v>7023.3831139743497</v>
      </c>
      <c r="AR84" s="121">
        <v>6143.6964906727699</v>
      </c>
      <c r="AS84" s="121">
        <v>5240.95454492917</v>
      </c>
      <c r="AT84" s="124">
        <v>4406.8915077635402</v>
      </c>
      <c r="AU84" s="123">
        <f t="shared" si="10"/>
        <v>318135.53013811179</v>
      </c>
      <c r="AV84" s="123">
        <f t="shared" si="8"/>
        <v>322724.56947638071</v>
      </c>
      <c r="AW84" s="123">
        <f t="shared" si="8"/>
        <v>318167.8620527368</v>
      </c>
      <c r="AX84" s="123">
        <f t="shared" si="8"/>
        <v>316587.25817625108</v>
      </c>
      <c r="AY84" s="123">
        <f t="shared" si="11"/>
        <v>347656.72910645779</v>
      </c>
      <c r="AZ84" s="123">
        <f t="shared" si="9"/>
        <v>351110.04888275155</v>
      </c>
      <c r="BA84" s="123">
        <f t="shared" si="9"/>
        <v>346021.76572392316</v>
      </c>
      <c r="BB84" s="123">
        <f t="shared" si="9"/>
        <v>345712.43333944993</v>
      </c>
      <c r="BC84" s="44"/>
      <c r="BD84" s="44"/>
      <c r="BE84" s="44"/>
      <c r="BF84" s="44"/>
      <c r="BG84" s="44"/>
      <c r="BH84" s="44"/>
      <c r="BI84" s="44"/>
      <c r="BJ84" s="44"/>
      <c r="BK84" s="44"/>
      <c r="BL84" s="44"/>
      <c r="BM84" s="44"/>
      <c r="BN84" s="45"/>
    </row>
    <row r="85" spans="1:66" ht="15.75" x14ac:dyDescent="0.25">
      <c r="A85" s="46"/>
      <c r="B85" s="91" t="s">
        <v>9</v>
      </c>
      <c r="C85" s="85"/>
      <c r="D85" s="86"/>
      <c r="E85" s="86"/>
      <c r="F85" s="86"/>
      <c r="G85" s="86"/>
      <c r="H85" s="86"/>
      <c r="I85" s="85"/>
      <c r="J85" s="85"/>
      <c r="K85" s="85"/>
      <c r="L85" s="86"/>
      <c r="M85" s="86"/>
      <c r="N85" s="86"/>
      <c r="O85" s="86"/>
      <c r="P85" s="86"/>
      <c r="Q85" s="85"/>
      <c r="R85" s="85"/>
      <c r="S85" s="85"/>
      <c r="T85" s="33"/>
      <c r="U85" s="34"/>
      <c r="V85" s="33"/>
      <c r="W85" s="33"/>
      <c r="X85" s="35"/>
      <c r="Y85" s="33"/>
      <c r="Z85" s="49"/>
      <c r="AA85" s="121">
        <v>157674.96230531501</v>
      </c>
      <c r="AB85" s="121">
        <v>159669.52390809401</v>
      </c>
      <c r="AC85" s="121">
        <v>163525.038633794</v>
      </c>
      <c r="AD85" s="124">
        <v>165838.26300290099</v>
      </c>
      <c r="AE85" s="121">
        <v>5384.1630666378796</v>
      </c>
      <c r="AF85" s="121">
        <v>5238.4240940607997</v>
      </c>
      <c r="AG85" s="121">
        <v>5019.7590392524698</v>
      </c>
      <c r="AH85" s="124">
        <v>4721.3748760662602</v>
      </c>
      <c r="AI85" s="121">
        <v>7148.9565863277903</v>
      </c>
      <c r="AJ85" s="121">
        <v>8365.9747336202709</v>
      </c>
      <c r="AK85" s="121">
        <v>9308.0019429493204</v>
      </c>
      <c r="AL85" s="124">
        <v>11332.541828798399</v>
      </c>
      <c r="AM85" s="121">
        <v>61276.917550648999</v>
      </c>
      <c r="AN85" s="121">
        <v>59999.277613975501</v>
      </c>
      <c r="AO85" s="121">
        <v>58170.836385746603</v>
      </c>
      <c r="AP85" s="124">
        <v>55785.060676039</v>
      </c>
      <c r="AQ85" s="121">
        <v>6895.1413877569303</v>
      </c>
      <c r="AR85" s="121">
        <v>6313.8980843122199</v>
      </c>
      <c r="AS85" s="121">
        <v>5917.0316678952104</v>
      </c>
      <c r="AT85" s="124">
        <v>5661.0042831171804</v>
      </c>
      <c r="AU85" s="123">
        <f t="shared" si="10"/>
        <v>163059.12537195289</v>
      </c>
      <c r="AV85" s="123">
        <f t="shared" si="8"/>
        <v>164907.94800215482</v>
      </c>
      <c r="AW85" s="123">
        <f t="shared" si="8"/>
        <v>168544.79767304647</v>
      </c>
      <c r="AX85" s="123">
        <f t="shared" si="8"/>
        <v>170559.63787896725</v>
      </c>
      <c r="AY85" s="123">
        <f t="shared" si="11"/>
        <v>238380.14089668661</v>
      </c>
      <c r="AZ85" s="123">
        <f t="shared" si="9"/>
        <v>239587.09843406282</v>
      </c>
      <c r="BA85" s="123">
        <f t="shared" si="9"/>
        <v>241940.66766963759</v>
      </c>
      <c r="BB85" s="123">
        <f t="shared" si="9"/>
        <v>243338.24466692182</v>
      </c>
      <c r="BC85" s="44"/>
      <c r="BD85" s="44"/>
      <c r="BE85" s="44"/>
      <c r="BF85" s="44"/>
      <c r="BG85" s="44"/>
      <c r="BH85" s="44"/>
      <c r="BI85" s="44"/>
      <c r="BJ85" s="44"/>
      <c r="BK85" s="44"/>
      <c r="BL85" s="44"/>
      <c r="BM85" s="44"/>
      <c r="BN85" s="45"/>
    </row>
    <row r="86" spans="1:66" ht="15.75" x14ac:dyDescent="0.25">
      <c r="A86" s="46"/>
      <c r="B86" s="91" t="s">
        <v>10</v>
      </c>
      <c r="C86" s="85"/>
      <c r="D86" s="86"/>
      <c r="E86" s="86"/>
      <c r="F86" s="86"/>
      <c r="G86" s="86"/>
      <c r="H86" s="86"/>
      <c r="I86" s="85"/>
      <c r="J86" s="85"/>
      <c r="K86" s="85"/>
      <c r="L86" s="86"/>
      <c r="M86" s="86"/>
      <c r="N86" s="86"/>
      <c r="O86" s="86"/>
      <c r="P86" s="86"/>
      <c r="Q86" s="85"/>
      <c r="R86" s="85"/>
      <c r="S86" s="85"/>
      <c r="T86" s="33"/>
      <c r="U86" s="34"/>
      <c r="V86" s="33"/>
      <c r="W86" s="33"/>
      <c r="X86" s="35"/>
      <c r="Y86" s="33"/>
      <c r="Z86" s="49"/>
      <c r="AA86" s="121">
        <v>187621.07663122701</v>
      </c>
      <c r="AB86" s="121">
        <v>192540.05381832601</v>
      </c>
      <c r="AC86" s="121">
        <v>198759.32406957599</v>
      </c>
      <c r="AD86" s="124">
        <v>204548.87850085701</v>
      </c>
      <c r="AE86" s="121">
        <v>5346.6788134299104</v>
      </c>
      <c r="AF86" s="121">
        <v>5581.7773692534502</v>
      </c>
      <c r="AG86" s="121">
        <v>5503.96600481521</v>
      </c>
      <c r="AH86" s="124">
        <v>5585.9100643167303</v>
      </c>
      <c r="AI86" s="121">
        <v>5876.7996640002902</v>
      </c>
      <c r="AJ86" s="121">
        <v>5478.59540941265</v>
      </c>
      <c r="AK86" s="121">
        <v>5410.4323571178502</v>
      </c>
      <c r="AL86" s="124">
        <v>5401.2229741598703</v>
      </c>
      <c r="AM86" s="121">
        <v>24960.1491132056</v>
      </c>
      <c r="AN86" s="121">
        <v>24521.331765471401</v>
      </c>
      <c r="AO86" s="121">
        <v>24743.983699036798</v>
      </c>
      <c r="AP86" s="124">
        <v>25656.6108215153</v>
      </c>
      <c r="AQ86" s="121">
        <v>8250.51305346351</v>
      </c>
      <c r="AR86" s="121">
        <v>8214.7898768551804</v>
      </c>
      <c r="AS86" s="121">
        <v>8710.2218883819096</v>
      </c>
      <c r="AT86" s="124">
        <v>9422.1066363699392</v>
      </c>
      <c r="AU86" s="123">
        <f t="shared" si="10"/>
        <v>192967.75544465691</v>
      </c>
      <c r="AV86" s="123">
        <f t="shared" si="8"/>
        <v>198121.83118757946</v>
      </c>
      <c r="AW86" s="123">
        <f t="shared" si="8"/>
        <v>204263.2900743912</v>
      </c>
      <c r="AX86" s="123">
        <f t="shared" si="8"/>
        <v>210134.78856517375</v>
      </c>
      <c r="AY86" s="123">
        <f t="shared" si="11"/>
        <v>232055.21727532631</v>
      </c>
      <c r="AZ86" s="123">
        <f t="shared" si="9"/>
        <v>236336.54823931871</v>
      </c>
      <c r="BA86" s="123">
        <f t="shared" si="9"/>
        <v>243127.92801892775</v>
      </c>
      <c r="BB86" s="123">
        <f t="shared" si="9"/>
        <v>250614.72899721886</v>
      </c>
      <c r="BC86" s="44"/>
      <c r="BD86" s="44"/>
      <c r="BE86" s="44"/>
      <c r="BF86" s="44"/>
      <c r="BG86" s="44"/>
      <c r="BH86" s="44"/>
      <c r="BI86" s="44"/>
      <c r="BJ86" s="44"/>
      <c r="BK86" s="44"/>
      <c r="BL86" s="44"/>
      <c r="BM86" s="44"/>
      <c r="BN86" s="45"/>
    </row>
    <row r="87" spans="1:66" ht="15.75" x14ac:dyDescent="0.25">
      <c r="A87" s="46"/>
      <c r="B87" s="101" t="s">
        <v>140</v>
      </c>
      <c r="C87" s="85"/>
      <c r="D87" s="86"/>
      <c r="E87" s="86"/>
      <c r="F87" s="86"/>
      <c r="G87" s="86"/>
      <c r="H87" s="86"/>
      <c r="I87" s="85"/>
      <c r="J87" s="85"/>
      <c r="K87" s="85"/>
      <c r="L87" s="86"/>
      <c r="M87" s="86"/>
      <c r="N87" s="86"/>
      <c r="O87" s="86"/>
      <c r="P87" s="86"/>
      <c r="Q87" s="85"/>
      <c r="R87" s="85"/>
      <c r="S87" s="85"/>
      <c r="T87" s="33"/>
      <c r="U87" s="34"/>
      <c r="V87" s="33"/>
      <c r="W87" s="33"/>
      <c r="X87" s="35"/>
      <c r="Y87" s="33"/>
      <c r="Z87" s="49"/>
      <c r="AA87" s="121">
        <v>90783.020957776898</v>
      </c>
      <c r="AB87" s="121">
        <v>89945.824542480696</v>
      </c>
      <c r="AC87" s="121">
        <v>88165.769494968903</v>
      </c>
      <c r="AD87" s="124">
        <v>90948.238041531804</v>
      </c>
      <c r="AE87" s="121">
        <v>2372.2286069443198</v>
      </c>
      <c r="AF87" s="121">
        <v>2282.82603039065</v>
      </c>
      <c r="AG87" s="121">
        <v>2371.2545812212202</v>
      </c>
      <c r="AH87" s="124">
        <v>2739.3451458890599</v>
      </c>
      <c r="AI87" s="121">
        <v>2725.6427743399299</v>
      </c>
      <c r="AJ87" s="121">
        <v>2743.5170157417301</v>
      </c>
      <c r="AK87" s="121">
        <v>2806.8636492095302</v>
      </c>
      <c r="AL87" s="124">
        <v>3046.7695340155701</v>
      </c>
      <c r="AM87" s="121">
        <v>63558.253980459303</v>
      </c>
      <c r="AN87" s="121">
        <v>66051.807464647703</v>
      </c>
      <c r="AO87" s="121">
        <v>68731.635805843194</v>
      </c>
      <c r="AP87" s="124">
        <v>70611.593444550104</v>
      </c>
      <c r="AQ87" s="121">
        <v>4513.0265574388704</v>
      </c>
      <c r="AR87" s="121">
        <v>4648.6229246213297</v>
      </c>
      <c r="AS87" s="121">
        <v>4397.0999214614003</v>
      </c>
      <c r="AT87" s="124">
        <v>4144.9567753390202</v>
      </c>
      <c r="AU87" s="123">
        <f t="shared" si="10"/>
        <v>93155.24956472122</v>
      </c>
      <c r="AV87" s="123">
        <f t="shared" si="8"/>
        <v>92228.650572871353</v>
      </c>
      <c r="AW87" s="123">
        <f t="shared" si="8"/>
        <v>90537.024076190122</v>
      </c>
      <c r="AX87" s="123">
        <f t="shared" si="8"/>
        <v>93687.583187420867</v>
      </c>
      <c r="AY87" s="123">
        <f t="shared" si="11"/>
        <v>163952.17287695935</v>
      </c>
      <c r="AZ87" s="123">
        <f t="shared" si="9"/>
        <v>165672.59797788213</v>
      </c>
      <c r="BA87" s="123">
        <f t="shared" si="9"/>
        <v>166472.62345270425</v>
      </c>
      <c r="BB87" s="123">
        <f t="shared" si="9"/>
        <v>171490.90294132556</v>
      </c>
      <c r="BC87" s="44"/>
      <c r="BD87" s="44"/>
      <c r="BE87" s="44"/>
      <c r="BF87" s="44"/>
      <c r="BG87" s="44"/>
      <c r="BH87" s="44"/>
      <c r="BI87" s="44"/>
      <c r="BJ87" s="44"/>
      <c r="BK87" s="44"/>
      <c r="BL87" s="44"/>
      <c r="BM87" s="44"/>
      <c r="BN87" s="45"/>
    </row>
    <row r="88" spans="1:66" ht="15.75" x14ac:dyDescent="0.25">
      <c r="A88" s="46"/>
      <c r="B88" s="101"/>
      <c r="C88" s="85"/>
      <c r="D88" s="86"/>
      <c r="E88" s="86"/>
      <c r="F88" s="86"/>
      <c r="G88" s="86"/>
      <c r="H88" s="86"/>
      <c r="I88" s="85"/>
      <c r="J88" s="85"/>
      <c r="K88" s="85"/>
      <c r="L88" s="86"/>
      <c r="M88" s="86"/>
      <c r="N88" s="86"/>
      <c r="O88" s="86"/>
      <c r="P88" s="86"/>
      <c r="Q88" s="85"/>
      <c r="R88" s="85"/>
      <c r="S88" s="85"/>
      <c r="T88" s="33"/>
      <c r="U88" s="34"/>
      <c r="V88" s="33"/>
      <c r="W88" s="33"/>
      <c r="X88" s="35"/>
      <c r="Y88" s="33"/>
      <c r="Z88" s="49"/>
      <c r="AA88" s="123"/>
      <c r="AB88" s="123"/>
      <c r="AC88" s="123"/>
      <c r="AD88" s="123"/>
      <c r="AE88" s="123"/>
      <c r="AF88" s="123"/>
      <c r="AG88" s="123"/>
      <c r="AH88" s="125"/>
      <c r="AI88" s="123"/>
      <c r="AJ88" s="123"/>
      <c r="AK88" s="123"/>
      <c r="AL88" s="125"/>
      <c r="AM88" s="123"/>
      <c r="AN88" s="123"/>
      <c r="AO88" s="123"/>
      <c r="AP88" s="125"/>
      <c r="AQ88" s="123"/>
      <c r="AR88" s="123"/>
      <c r="AS88" s="123"/>
      <c r="AT88" s="125"/>
      <c r="AU88" s="44"/>
      <c r="AV88" s="44"/>
      <c r="AW88" s="44"/>
      <c r="AX88" s="44"/>
      <c r="AY88" s="44"/>
      <c r="AZ88" s="44"/>
      <c r="BA88" s="44"/>
      <c r="BB88" s="44"/>
      <c r="BC88" s="44"/>
      <c r="BD88" s="44"/>
      <c r="BE88" s="44"/>
      <c r="BF88" s="44"/>
      <c r="BG88" s="44"/>
      <c r="BH88" s="44"/>
      <c r="BI88" s="44"/>
      <c r="BJ88" s="44"/>
      <c r="BK88" s="44"/>
      <c r="BL88" s="44"/>
      <c r="BM88" s="44"/>
      <c r="BN88" s="45"/>
    </row>
    <row r="89" spans="1:66" ht="15.75" x14ac:dyDescent="0.25">
      <c r="A89" s="46">
        <v>16</v>
      </c>
      <c r="B89" s="66" t="s">
        <v>166</v>
      </c>
      <c r="C89" s="60" t="s">
        <v>167</v>
      </c>
      <c r="D89" s="61" t="s">
        <v>86</v>
      </c>
      <c r="E89" s="61" t="s">
        <v>34</v>
      </c>
      <c r="F89" s="61" t="s">
        <v>122</v>
      </c>
      <c r="G89" s="61" t="s">
        <v>43</v>
      </c>
      <c r="H89" s="61" t="s">
        <v>79</v>
      </c>
      <c r="I89" s="60" t="s">
        <v>76</v>
      </c>
      <c r="J89" s="60" t="s">
        <v>43</v>
      </c>
      <c r="K89" s="60" t="s">
        <v>43</v>
      </c>
      <c r="L89" s="61" t="s">
        <v>43</v>
      </c>
      <c r="M89" s="61"/>
      <c r="N89" s="61" t="s">
        <v>41</v>
      </c>
      <c r="O89" s="61" t="s">
        <v>42</v>
      </c>
      <c r="P89" s="61" t="s">
        <v>168</v>
      </c>
      <c r="Q89" s="60" t="s">
        <v>169</v>
      </c>
      <c r="R89" s="60"/>
      <c r="S89" s="60" t="s">
        <v>66</v>
      </c>
      <c r="T89" s="33"/>
      <c r="U89" s="34"/>
      <c r="V89" s="33" t="s">
        <v>45</v>
      </c>
      <c r="W89" s="33"/>
      <c r="X89" s="35"/>
      <c r="Y89" s="33"/>
      <c r="Z89" s="49"/>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5"/>
    </row>
    <row r="90" spans="1:66" ht="15.75" x14ac:dyDescent="0.25">
      <c r="A90" s="46">
        <v>17</v>
      </c>
      <c r="B90" s="66" t="s">
        <v>170</v>
      </c>
      <c r="C90" s="60" t="s">
        <v>171</v>
      </c>
      <c r="D90" s="61" t="s">
        <v>86</v>
      </c>
      <c r="E90" s="61" t="s">
        <v>34</v>
      </c>
      <c r="F90" s="61" t="s">
        <v>122</v>
      </c>
      <c r="G90" s="61" t="s">
        <v>43</v>
      </c>
      <c r="H90" s="61" t="s">
        <v>79</v>
      </c>
      <c r="I90" s="60" t="s">
        <v>76</v>
      </c>
      <c r="J90" s="60" t="s">
        <v>43</v>
      </c>
      <c r="K90" s="60" t="s">
        <v>43</v>
      </c>
      <c r="L90" s="61" t="s">
        <v>43</v>
      </c>
      <c r="M90" s="61"/>
      <c r="N90" s="61" t="s">
        <v>41</v>
      </c>
      <c r="O90" s="61" t="s">
        <v>42</v>
      </c>
      <c r="P90" s="61" t="s">
        <v>168</v>
      </c>
      <c r="Q90" s="60" t="s">
        <v>172</v>
      </c>
      <c r="R90" s="60"/>
      <c r="S90" s="60" t="s">
        <v>66</v>
      </c>
      <c r="T90" s="33"/>
      <c r="U90" s="34"/>
      <c r="V90" s="33" t="s">
        <v>45</v>
      </c>
      <c r="W90" s="33"/>
      <c r="X90" s="35"/>
      <c r="Y90" s="33"/>
      <c r="Z90" s="49"/>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5"/>
    </row>
    <row r="91" spans="1:66" ht="15.75" x14ac:dyDescent="0.25">
      <c r="A91" s="46">
        <v>18</v>
      </c>
      <c r="B91" s="66" t="s">
        <v>173</v>
      </c>
      <c r="C91" s="60" t="s">
        <v>174</v>
      </c>
      <c r="D91" s="61" t="s">
        <v>86</v>
      </c>
      <c r="E91" s="61" t="s">
        <v>34</v>
      </c>
      <c r="F91" s="61" t="s">
        <v>122</v>
      </c>
      <c r="G91" s="61" t="s">
        <v>43</v>
      </c>
      <c r="H91" s="61" t="s">
        <v>79</v>
      </c>
      <c r="I91" s="60" t="s">
        <v>76</v>
      </c>
      <c r="J91" s="60" t="s">
        <v>43</v>
      </c>
      <c r="K91" s="60" t="s">
        <v>43</v>
      </c>
      <c r="L91" s="61" t="s">
        <v>43</v>
      </c>
      <c r="M91" s="61"/>
      <c r="N91" s="61" t="s">
        <v>41</v>
      </c>
      <c r="O91" s="61" t="s">
        <v>42</v>
      </c>
      <c r="P91" s="61" t="s">
        <v>168</v>
      </c>
      <c r="Q91" s="60" t="s">
        <v>175</v>
      </c>
      <c r="R91" s="60"/>
      <c r="S91" s="60" t="s">
        <v>66</v>
      </c>
      <c r="T91" s="33"/>
      <c r="U91" s="34"/>
      <c r="V91" s="33" t="s">
        <v>45</v>
      </c>
      <c r="W91" s="33"/>
      <c r="X91" s="35"/>
      <c r="Y91" s="33"/>
      <c r="Z91" s="49"/>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5"/>
    </row>
    <row r="92" spans="1:66" ht="15.75" x14ac:dyDescent="0.25">
      <c r="A92" s="46">
        <v>19</v>
      </c>
      <c r="B92" s="66" t="s">
        <v>176</v>
      </c>
      <c r="C92" s="60" t="s">
        <v>177</v>
      </c>
      <c r="D92" s="61" t="s">
        <v>86</v>
      </c>
      <c r="E92" s="61" t="s">
        <v>34</v>
      </c>
      <c r="F92" s="61" t="s">
        <v>122</v>
      </c>
      <c r="G92" s="61" t="s">
        <v>43</v>
      </c>
      <c r="H92" s="61" t="s">
        <v>79</v>
      </c>
      <c r="I92" s="60" t="s">
        <v>37</v>
      </c>
      <c r="J92" s="60" t="s">
        <v>38</v>
      </c>
      <c r="K92" s="60" t="s">
        <v>39</v>
      </c>
      <c r="L92" s="61" t="s">
        <v>40</v>
      </c>
      <c r="M92" s="61"/>
      <c r="N92" s="61" t="s">
        <v>41</v>
      </c>
      <c r="O92" s="61" t="s">
        <v>42</v>
      </c>
      <c r="P92" s="61" t="s">
        <v>91</v>
      </c>
      <c r="Q92" s="60" t="s">
        <v>43</v>
      </c>
      <c r="R92" s="60"/>
      <c r="S92" s="60" t="s">
        <v>66</v>
      </c>
      <c r="T92" s="33"/>
      <c r="U92" s="34"/>
      <c r="V92" s="33" t="s">
        <v>45</v>
      </c>
      <c r="W92" s="33"/>
      <c r="X92" s="35"/>
      <c r="Y92" s="33"/>
      <c r="Z92" s="49"/>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5"/>
    </row>
    <row r="93" spans="1:66" ht="15.75" x14ac:dyDescent="0.25">
      <c r="A93" s="46">
        <v>20</v>
      </c>
      <c r="B93" s="66" t="s">
        <v>178</v>
      </c>
      <c r="C93" s="60" t="s">
        <v>179</v>
      </c>
      <c r="D93" s="61" t="s">
        <v>86</v>
      </c>
      <c r="E93" s="61" t="s">
        <v>34</v>
      </c>
      <c r="F93" s="61" t="s">
        <v>122</v>
      </c>
      <c r="G93" s="61" t="s">
        <v>43</v>
      </c>
      <c r="H93" s="61" t="s">
        <v>79</v>
      </c>
      <c r="I93" s="60" t="s">
        <v>180</v>
      </c>
      <c r="J93" s="60" t="s">
        <v>43</v>
      </c>
      <c r="K93" s="60" t="s">
        <v>43</v>
      </c>
      <c r="L93" s="61" t="s">
        <v>43</v>
      </c>
      <c r="M93" s="61"/>
      <c r="N93" s="61" t="s">
        <v>41</v>
      </c>
      <c r="O93" s="61" t="s">
        <v>42</v>
      </c>
      <c r="P93" s="61" t="s">
        <v>168</v>
      </c>
      <c r="Q93" s="60" t="s">
        <v>43</v>
      </c>
      <c r="R93" s="60"/>
      <c r="S93" s="60" t="s">
        <v>66</v>
      </c>
      <c r="T93" s="33"/>
      <c r="U93" s="34"/>
      <c r="V93" s="33" t="s">
        <v>45</v>
      </c>
      <c r="W93" s="33"/>
      <c r="X93" s="35"/>
      <c r="Y93" s="33"/>
      <c r="Z93" s="49"/>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5"/>
    </row>
    <row r="94" spans="1:66" ht="15.75" x14ac:dyDescent="0.25">
      <c r="A94" s="46">
        <v>21</v>
      </c>
      <c r="B94" s="66" t="s">
        <v>181</v>
      </c>
      <c r="C94" s="60" t="s">
        <v>182</v>
      </c>
      <c r="D94" s="61" t="s">
        <v>86</v>
      </c>
      <c r="E94" s="61" t="s">
        <v>34</v>
      </c>
      <c r="F94" s="61" t="s">
        <v>122</v>
      </c>
      <c r="G94" s="61" t="s">
        <v>43</v>
      </c>
      <c r="H94" s="61" t="s">
        <v>79</v>
      </c>
      <c r="I94" s="60" t="s">
        <v>76</v>
      </c>
      <c r="J94" s="60" t="s">
        <v>43</v>
      </c>
      <c r="K94" s="60" t="s">
        <v>43</v>
      </c>
      <c r="L94" s="61" t="s">
        <v>43</v>
      </c>
      <c r="M94" s="61"/>
      <c r="N94" s="61" t="s">
        <v>41</v>
      </c>
      <c r="O94" s="61" t="s">
        <v>42</v>
      </c>
      <c r="P94" s="61" t="s">
        <v>168</v>
      </c>
      <c r="Q94" s="60" t="s">
        <v>43</v>
      </c>
      <c r="R94" s="60"/>
      <c r="S94" s="60" t="s">
        <v>66</v>
      </c>
      <c r="T94" s="33"/>
      <c r="U94" s="34"/>
      <c r="V94" s="33" t="s">
        <v>45</v>
      </c>
      <c r="W94" s="33"/>
      <c r="X94" s="35"/>
      <c r="Y94" s="33"/>
      <c r="Z94" s="49"/>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5"/>
    </row>
    <row r="95" spans="1:66" ht="15.75" x14ac:dyDescent="0.25">
      <c r="A95" s="46">
        <v>22</v>
      </c>
      <c r="B95" s="66" t="s">
        <v>183</v>
      </c>
      <c r="C95" s="60" t="s">
        <v>184</v>
      </c>
      <c r="D95" s="61" t="s">
        <v>86</v>
      </c>
      <c r="E95" s="61" t="s">
        <v>34</v>
      </c>
      <c r="F95" s="61" t="s">
        <v>122</v>
      </c>
      <c r="G95" s="61" t="s">
        <v>43</v>
      </c>
      <c r="H95" s="61" t="s">
        <v>79</v>
      </c>
      <c r="I95" s="60" t="s">
        <v>185</v>
      </c>
      <c r="J95" s="60" t="s">
        <v>38</v>
      </c>
      <c r="K95" s="60" t="s">
        <v>39</v>
      </c>
      <c r="L95" s="61" t="s">
        <v>40</v>
      </c>
      <c r="M95" s="61"/>
      <c r="N95" s="61" t="s">
        <v>41</v>
      </c>
      <c r="O95" s="61" t="s">
        <v>42</v>
      </c>
      <c r="P95" s="61" t="s">
        <v>168</v>
      </c>
      <c r="Q95" s="60" t="s">
        <v>43</v>
      </c>
      <c r="R95" s="60"/>
      <c r="S95" s="60" t="s">
        <v>66</v>
      </c>
      <c r="T95" s="33"/>
      <c r="U95" s="34"/>
      <c r="V95" s="33" t="s">
        <v>45</v>
      </c>
      <c r="W95" s="33"/>
      <c r="X95" s="35"/>
      <c r="Y95" s="33"/>
      <c r="Z95" s="49"/>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5"/>
    </row>
    <row r="96" spans="1:66" ht="24" x14ac:dyDescent="0.25">
      <c r="A96" s="46">
        <v>23</v>
      </c>
      <c r="B96" s="66" t="s">
        <v>186</v>
      </c>
      <c r="C96" s="60" t="s">
        <v>187</v>
      </c>
      <c r="D96" s="61" t="s">
        <v>86</v>
      </c>
      <c r="E96" s="61" t="s">
        <v>34</v>
      </c>
      <c r="F96" s="61" t="s">
        <v>122</v>
      </c>
      <c r="G96" s="61" t="s">
        <v>43</v>
      </c>
      <c r="H96" s="61" t="s">
        <v>36</v>
      </c>
      <c r="I96" s="60" t="s">
        <v>188</v>
      </c>
      <c r="J96" s="60" t="s">
        <v>189</v>
      </c>
      <c r="K96" s="60" t="s">
        <v>43</v>
      </c>
      <c r="L96" s="61" t="s">
        <v>43</v>
      </c>
      <c r="M96" s="61"/>
      <c r="N96" s="61" t="s">
        <v>41</v>
      </c>
      <c r="O96" s="61" t="s">
        <v>42</v>
      </c>
      <c r="P96" s="61" t="s">
        <v>168</v>
      </c>
      <c r="Q96" s="60" t="s">
        <v>190</v>
      </c>
      <c r="R96" s="60"/>
      <c r="S96" s="60" t="s">
        <v>66</v>
      </c>
      <c r="T96" s="33"/>
      <c r="U96" s="34"/>
      <c r="V96" s="33" t="s">
        <v>45</v>
      </c>
      <c r="W96" s="33"/>
      <c r="X96" s="35"/>
      <c r="Y96" s="33"/>
      <c r="Z96" s="49"/>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5"/>
    </row>
    <row r="97" spans="1:66" ht="15.75" x14ac:dyDescent="0.25">
      <c r="A97" s="126"/>
      <c r="B97" s="127"/>
      <c r="C97" s="128"/>
      <c r="D97" s="129"/>
      <c r="E97" s="129"/>
      <c r="F97" s="129"/>
      <c r="G97" s="129"/>
      <c r="H97" s="129"/>
      <c r="I97" s="128"/>
      <c r="J97" s="128"/>
      <c r="K97" s="128"/>
      <c r="L97" s="129"/>
      <c r="M97" s="129"/>
      <c r="N97" s="129"/>
      <c r="O97" s="129"/>
      <c r="P97" s="129"/>
      <c r="Q97" s="128"/>
      <c r="R97" s="128"/>
      <c r="S97" s="128"/>
      <c r="T97" s="130"/>
      <c r="U97" s="131"/>
      <c r="V97" s="130"/>
      <c r="W97" s="130"/>
      <c r="X97" s="132"/>
      <c r="Y97" s="130"/>
      <c r="Z97" s="133"/>
      <c r="AA97" s="134" t="s">
        <v>100</v>
      </c>
      <c r="AB97" s="134" t="s">
        <v>102</v>
      </c>
      <c r="AC97" s="134" t="s">
        <v>104</v>
      </c>
      <c r="AD97" s="134" t="s">
        <v>101</v>
      </c>
      <c r="AE97" s="134" t="s">
        <v>107</v>
      </c>
      <c r="AF97" s="134" t="s">
        <v>105</v>
      </c>
      <c r="AG97" s="134" t="s">
        <v>108</v>
      </c>
      <c r="AH97" s="134" t="s">
        <v>106</v>
      </c>
      <c r="AI97" s="134" t="s">
        <v>103</v>
      </c>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6"/>
    </row>
    <row r="98" spans="1:66" ht="24" x14ac:dyDescent="0.25">
      <c r="A98" s="46">
        <v>24</v>
      </c>
      <c r="B98" s="137" t="s">
        <v>191</v>
      </c>
      <c r="C98" s="60" t="s">
        <v>192</v>
      </c>
      <c r="D98" s="61" t="s">
        <v>86</v>
      </c>
      <c r="E98" s="61" t="s">
        <v>34</v>
      </c>
      <c r="F98" s="61" t="s">
        <v>122</v>
      </c>
      <c r="G98" s="61" t="s">
        <v>43</v>
      </c>
      <c r="H98" s="61" t="s">
        <v>36</v>
      </c>
      <c r="I98" s="60" t="s">
        <v>193</v>
      </c>
      <c r="J98" s="60" t="s">
        <v>194</v>
      </c>
      <c r="K98" s="60" t="s">
        <v>43</v>
      </c>
      <c r="L98" s="61" t="s">
        <v>43</v>
      </c>
      <c r="M98" s="61"/>
      <c r="N98" s="61" t="s">
        <v>41</v>
      </c>
      <c r="O98" s="61" t="s">
        <v>42</v>
      </c>
      <c r="P98" s="61" t="s">
        <v>168</v>
      </c>
      <c r="Q98" s="60" t="s">
        <v>195</v>
      </c>
      <c r="R98" s="60"/>
      <c r="S98" s="60" t="s">
        <v>66</v>
      </c>
      <c r="T98" s="33"/>
      <c r="U98" s="34"/>
      <c r="V98" s="33" t="s">
        <v>45</v>
      </c>
      <c r="W98" s="33"/>
      <c r="X98" s="35"/>
      <c r="Y98" s="33"/>
      <c r="Z98" s="49"/>
      <c r="AA98" s="138"/>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5"/>
    </row>
    <row r="99" spans="1:66" ht="24" x14ac:dyDescent="0.25">
      <c r="A99" s="46">
        <v>25</v>
      </c>
      <c r="B99" s="137" t="s">
        <v>196</v>
      </c>
      <c r="C99" s="60" t="s">
        <v>197</v>
      </c>
      <c r="D99" s="61" t="s">
        <v>86</v>
      </c>
      <c r="E99" s="61" t="s">
        <v>34</v>
      </c>
      <c r="F99" s="61" t="s">
        <v>122</v>
      </c>
      <c r="G99" s="61" t="s">
        <v>43</v>
      </c>
      <c r="H99" s="61" t="s">
        <v>198</v>
      </c>
      <c r="I99" s="60" t="s">
        <v>193</v>
      </c>
      <c r="J99" s="60" t="s">
        <v>194</v>
      </c>
      <c r="K99" s="60" t="s">
        <v>43</v>
      </c>
      <c r="L99" s="61" t="s">
        <v>43</v>
      </c>
      <c r="M99" s="61"/>
      <c r="N99" s="61" t="s">
        <v>41</v>
      </c>
      <c r="O99" s="61" t="s">
        <v>42</v>
      </c>
      <c r="P99" s="61" t="s">
        <v>168</v>
      </c>
      <c r="Q99" s="60" t="s">
        <v>199</v>
      </c>
      <c r="R99" s="60"/>
      <c r="S99" s="60"/>
      <c r="T99" s="33"/>
      <c r="U99" s="34" t="s">
        <v>45</v>
      </c>
      <c r="V99" s="33"/>
      <c r="W99" s="33"/>
      <c r="X99" s="35"/>
      <c r="Y99" s="33"/>
      <c r="Z99" s="49"/>
      <c r="AA99" s="138"/>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5"/>
    </row>
    <row r="100" spans="1:66" ht="15.75" x14ac:dyDescent="0.25">
      <c r="A100" s="46"/>
      <c r="B100" s="139">
        <v>2012</v>
      </c>
      <c r="C100" s="60"/>
      <c r="D100" s="61"/>
      <c r="E100" s="61"/>
      <c r="F100" s="61"/>
      <c r="G100" s="61"/>
      <c r="H100" s="61"/>
      <c r="I100" s="60"/>
      <c r="J100" s="60"/>
      <c r="K100" s="60"/>
      <c r="L100" s="61"/>
      <c r="M100" s="61"/>
      <c r="N100" s="61"/>
      <c r="O100" s="61"/>
      <c r="P100" s="61"/>
      <c r="Q100" s="60"/>
      <c r="R100" s="60"/>
      <c r="S100" s="60"/>
      <c r="T100" s="33"/>
      <c r="U100" s="34"/>
      <c r="V100" s="33"/>
      <c r="W100" s="33"/>
      <c r="X100" s="35"/>
      <c r="Y100" s="33"/>
      <c r="Z100" s="49"/>
      <c r="AA100" s="140">
        <v>321</v>
      </c>
      <c r="AB100" s="139">
        <v>212</v>
      </c>
      <c r="AC100" s="139">
        <v>556</v>
      </c>
      <c r="AD100" s="139">
        <v>214</v>
      </c>
      <c r="AE100" s="139">
        <v>256</v>
      </c>
      <c r="AF100" s="139">
        <v>436</v>
      </c>
      <c r="AG100" s="139">
        <v>233</v>
      </c>
      <c r="AH100" s="139">
        <v>128</v>
      </c>
      <c r="AI100" s="139">
        <v>719</v>
      </c>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5"/>
    </row>
    <row r="101" spans="1:66" ht="24" x14ac:dyDescent="0.25">
      <c r="A101" s="46">
        <v>26</v>
      </c>
      <c r="B101" s="137" t="s">
        <v>200</v>
      </c>
      <c r="C101" s="60" t="s">
        <v>201</v>
      </c>
      <c r="D101" s="61" t="s">
        <v>86</v>
      </c>
      <c r="E101" s="61" t="s">
        <v>34</v>
      </c>
      <c r="F101" s="61" t="s">
        <v>122</v>
      </c>
      <c r="G101" s="61" t="s">
        <v>43</v>
      </c>
      <c r="H101" s="61" t="s">
        <v>198</v>
      </c>
      <c r="I101" s="60" t="s">
        <v>202</v>
      </c>
      <c r="J101" s="60" t="s">
        <v>194</v>
      </c>
      <c r="K101" s="60" t="s">
        <v>43</v>
      </c>
      <c r="L101" s="61" t="s">
        <v>43</v>
      </c>
      <c r="M101" s="61"/>
      <c r="N101" s="61" t="s">
        <v>41</v>
      </c>
      <c r="O101" s="61" t="s">
        <v>42</v>
      </c>
      <c r="P101" s="61" t="s">
        <v>168</v>
      </c>
      <c r="Q101" s="60" t="s">
        <v>43</v>
      </c>
      <c r="R101" s="60"/>
      <c r="S101" s="60" t="s">
        <v>66</v>
      </c>
      <c r="T101" s="33"/>
      <c r="U101" s="34"/>
      <c r="V101" s="33" t="s">
        <v>45</v>
      </c>
      <c r="W101" s="33"/>
      <c r="X101" s="35"/>
      <c r="Y101" s="33"/>
      <c r="Z101" s="49"/>
      <c r="AA101" s="138"/>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5"/>
    </row>
    <row r="102" spans="1:66" ht="24" x14ac:dyDescent="0.25">
      <c r="A102" s="46">
        <v>27</v>
      </c>
      <c r="B102" s="137" t="s">
        <v>203</v>
      </c>
      <c r="C102" s="60" t="s">
        <v>204</v>
      </c>
      <c r="D102" s="61" t="s">
        <v>86</v>
      </c>
      <c r="E102" s="61" t="s">
        <v>34</v>
      </c>
      <c r="F102" s="61" t="s">
        <v>122</v>
      </c>
      <c r="G102" s="61" t="s">
        <v>43</v>
      </c>
      <c r="H102" s="61" t="s">
        <v>198</v>
      </c>
      <c r="I102" s="60" t="s">
        <v>185</v>
      </c>
      <c r="J102" s="60" t="s">
        <v>38</v>
      </c>
      <c r="K102" s="60" t="s">
        <v>39</v>
      </c>
      <c r="L102" s="61" t="s">
        <v>40</v>
      </c>
      <c r="M102" s="61"/>
      <c r="N102" s="61" t="s">
        <v>41</v>
      </c>
      <c r="O102" s="61" t="s">
        <v>42</v>
      </c>
      <c r="P102" s="61" t="s">
        <v>168</v>
      </c>
      <c r="Q102" s="60" t="s">
        <v>43</v>
      </c>
      <c r="R102" s="60"/>
      <c r="S102" s="60" t="s">
        <v>66</v>
      </c>
      <c r="T102" s="33"/>
      <c r="U102" s="34"/>
      <c r="V102" s="33" t="s">
        <v>45</v>
      </c>
      <c r="W102" s="33"/>
      <c r="X102" s="35"/>
      <c r="Y102" s="33"/>
      <c r="Z102" s="49"/>
      <c r="AA102" s="138"/>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5"/>
    </row>
    <row r="103" spans="1:66" ht="15.75" x14ac:dyDescent="0.25">
      <c r="A103" s="46">
        <v>28</v>
      </c>
      <c r="B103" s="137" t="s">
        <v>205</v>
      </c>
      <c r="C103" s="60" t="s">
        <v>206</v>
      </c>
      <c r="D103" s="61" t="s">
        <v>86</v>
      </c>
      <c r="E103" s="61" t="s">
        <v>34</v>
      </c>
      <c r="F103" s="61" t="s">
        <v>122</v>
      </c>
      <c r="G103" s="61" t="s">
        <v>43</v>
      </c>
      <c r="H103" s="61" t="s">
        <v>198</v>
      </c>
      <c r="I103" s="60" t="s">
        <v>37</v>
      </c>
      <c r="J103" s="60" t="s">
        <v>38</v>
      </c>
      <c r="K103" s="60" t="s">
        <v>39</v>
      </c>
      <c r="L103" s="61" t="s">
        <v>40</v>
      </c>
      <c r="M103" s="61"/>
      <c r="N103" s="61" t="s">
        <v>41</v>
      </c>
      <c r="O103" s="61" t="s">
        <v>42</v>
      </c>
      <c r="P103" s="61" t="s">
        <v>168</v>
      </c>
      <c r="Q103" s="60" t="s">
        <v>43</v>
      </c>
      <c r="R103" s="60"/>
      <c r="S103" s="60" t="s">
        <v>66</v>
      </c>
      <c r="T103" s="33"/>
      <c r="U103" s="34"/>
      <c r="V103" s="33" t="s">
        <v>45</v>
      </c>
      <c r="W103" s="33"/>
      <c r="X103" s="35"/>
      <c r="Y103" s="33"/>
      <c r="Z103" s="49"/>
      <c r="AA103" s="138"/>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5"/>
    </row>
    <row r="104" spans="1:66" ht="24" x14ac:dyDescent="0.25">
      <c r="A104" s="46">
        <v>29</v>
      </c>
      <c r="B104" s="137" t="s">
        <v>207</v>
      </c>
      <c r="C104" s="60" t="s">
        <v>206</v>
      </c>
      <c r="D104" s="61" t="s">
        <v>86</v>
      </c>
      <c r="E104" s="61" t="s">
        <v>34</v>
      </c>
      <c r="F104" s="61" t="s">
        <v>122</v>
      </c>
      <c r="G104" s="61" t="s">
        <v>43</v>
      </c>
      <c r="H104" s="61" t="s">
        <v>198</v>
      </c>
      <c r="I104" s="60" t="s">
        <v>202</v>
      </c>
      <c r="J104" s="60" t="s">
        <v>194</v>
      </c>
      <c r="K104" s="60" t="s">
        <v>43</v>
      </c>
      <c r="L104" s="61" t="s">
        <v>43</v>
      </c>
      <c r="M104" s="61"/>
      <c r="N104" s="61" t="s">
        <v>41</v>
      </c>
      <c r="O104" s="61" t="s">
        <v>42</v>
      </c>
      <c r="P104" s="61" t="s">
        <v>168</v>
      </c>
      <c r="Q104" s="60" t="s">
        <v>43</v>
      </c>
      <c r="R104" s="60"/>
      <c r="S104" s="60" t="s">
        <v>66</v>
      </c>
      <c r="T104" s="33"/>
      <c r="U104" s="34"/>
      <c r="V104" s="33" t="s">
        <v>45</v>
      </c>
      <c r="W104" s="33"/>
      <c r="X104" s="35"/>
      <c r="Y104" s="33"/>
      <c r="Z104" s="49"/>
      <c r="AA104" s="138"/>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5"/>
    </row>
    <row r="105" spans="1:66" ht="15.75" x14ac:dyDescent="0.25">
      <c r="A105" s="46">
        <v>30</v>
      </c>
      <c r="B105" s="137" t="s">
        <v>208</v>
      </c>
      <c r="C105" s="60" t="s">
        <v>206</v>
      </c>
      <c r="D105" s="61" t="s">
        <v>86</v>
      </c>
      <c r="E105" s="61" t="s">
        <v>34</v>
      </c>
      <c r="F105" s="61" t="s">
        <v>122</v>
      </c>
      <c r="G105" s="61" t="s">
        <v>43</v>
      </c>
      <c r="H105" s="61" t="s">
        <v>198</v>
      </c>
      <c r="I105" s="60" t="s">
        <v>209</v>
      </c>
      <c r="J105" s="60" t="s">
        <v>43</v>
      </c>
      <c r="K105" s="60" t="s">
        <v>43</v>
      </c>
      <c r="L105" s="61" t="s">
        <v>43</v>
      </c>
      <c r="M105" s="61"/>
      <c r="N105" s="61" t="s">
        <v>41</v>
      </c>
      <c r="O105" s="61" t="s">
        <v>42</v>
      </c>
      <c r="P105" s="61" t="s">
        <v>168</v>
      </c>
      <c r="Q105" s="60" t="s">
        <v>43</v>
      </c>
      <c r="R105" s="60"/>
      <c r="S105" s="60" t="s">
        <v>66</v>
      </c>
      <c r="T105" s="33"/>
      <c r="U105" s="34"/>
      <c r="V105" s="33" t="s">
        <v>45</v>
      </c>
      <c r="W105" s="33"/>
      <c r="X105" s="35"/>
      <c r="Y105" s="33"/>
      <c r="Z105" s="49"/>
      <c r="AA105" s="138"/>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5"/>
    </row>
    <row r="106" spans="1:66" ht="24" x14ac:dyDescent="0.25">
      <c r="A106" s="46">
        <v>31</v>
      </c>
      <c r="B106" s="137" t="s">
        <v>210</v>
      </c>
      <c r="C106" s="60" t="s">
        <v>211</v>
      </c>
      <c r="D106" s="61" t="s">
        <v>86</v>
      </c>
      <c r="E106" s="61" t="s">
        <v>34</v>
      </c>
      <c r="F106" s="61" t="s">
        <v>122</v>
      </c>
      <c r="G106" s="61" t="s">
        <v>43</v>
      </c>
      <c r="H106" s="61" t="s">
        <v>198</v>
      </c>
      <c r="I106" s="60" t="s">
        <v>193</v>
      </c>
      <c r="J106" s="60" t="s">
        <v>212</v>
      </c>
      <c r="K106" s="60" t="s">
        <v>43</v>
      </c>
      <c r="L106" s="61" t="s">
        <v>43</v>
      </c>
      <c r="M106" s="61"/>
      <c r="N106" s="61" t="s">
        <v>41</v>
      </c>
      <c r="O106" s="61" t="s">
        <v>42</v>
      </c>
      <c r="P106" s="61" t="s">
        <v>168</v>
      </c>
      <c r="Q106" s="60" t="s">
        <v>213</v>
      </c>
      <c r="R106" s="60"/>
      <c r="S106" s="60" t="s">
        <v>66</v>
      </c>
      <c r="T106" s="33"/>
      <c r="U106" s="34"/>
      <c r="V106" s="33" t="s">
        <v>45</v>
      </c>
      <c r="W106" s="33"/>
      <c r="X106" s="35"/>
      <c r="Y106" s="33"/>
      <c r="Z106" s="49"/>
      <c r="AA106" s="138"/>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5"/>
    </row>
    <row r="107" spans="1:66" ht="24" x14ac:dyDescent="0.25">
      <c r="A107" s="46">
        <v>32</v>
      </c>
      <c r="B107" s="137" t="s">
        <v>214</v>
      </c>
      <c r="C107" s="60" t="s">
        <v>215</v>
      </c>
      <c r="D107" s="61" t="s">
        <v>86</v>
      </c>
      <c r="E107" s="61" t="s">
        <v>34</v>
      </c>
      <c r="F107" s="61" t="s">
        <v>122</v>
      </c>
      <c r="G107" s="61" t="s">
        <v>43</v>
      </c>
      <c r="H107" s="61" t="s">
        <v>198</v>
      </c>
      <c r="I107" s="60" t="s">
        <v>216</v>
      </c>
      <c r="J107" s="60" t="s">
        <v>194</v>
      </c>
      <c r="K107" s="60" t="s">
        <v>43</v>
      </c>
      <c r="L107" s="61" t="s">
        <v>43</v>
      </c>
      <c r="M107" s="61"/>
      <c r="N107" s="61" t="s">
        <v>41</v>
      </c>
      <c r="O107" s="61" t="s">
        <v>42</v>
      </c>
      <c r="P107" s="61" t="s">
        <v>168</v>
      </c>
      <c r="Q107" s="60" t="s">
        <v>217</v>
      </c>
      <c r="R107" s="60"/>
      <c r="S107" s="60" t="s">
        <v>66</v>
      </c>
      <c r="T107" s="33"/>
      <c r="U107" s="34"/>
      <c r="V107" s="33" t="s">
        <v>45</v>
      </c>
      <c r="W107" s="33"/>
      <c r="X107" s="35"/>
      <c r="Y107" s="33"/>
      <c r="Z107" s="49"/>
      <c r="AA107" s="138"/>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5"/>
    </row>
    <row r="108" spans="1:66" ht="24" x14ac:dyDescent="0.25">
      <c r="A108" s="46">
        <v>33</v>
      </c>
      <c r="B108" s="137" t="s">
        <v>218</v>
      </c>
      <c r="C108" s="60" t="s">
        <v>219</v>
      </c>
      <c r="D108" s="61" t="s">
        <v>86</v>
      </c>
      <c r="E108" s="61" t="s">
        <v>34</v>
      </c>
      <c r="F108" s="61" t="s">
        <v>122</v>
      </c>
      <c r="G108" s="61" t="s">
        <v>43</v>
      </c>
      <c r="H108" s="61" t="s">
        <v>49</v>
      </c>
      <c r="I108" s="60" t="s">
        <v>216</v>
      </c>
      <c r="J108" s="60" t="s">
        <v>194</v>
      </c>
      <c r="K108" s="60" t="s">
        <v>43</v>
      </c>
      <c r="L108" s="61" t="s">
        <v>43</v>
      </c>
      <c r="M108" s="61"/>
      <c r="N108" s="61" t="s">
        <v>41</v>
      </c>
      <c r="O108" s="61" t="s">
        <v>42</v>
      </c>
      <c r="P108" s="61" t="s">
        <v>168</v>
      </c>
      <c r="Q108" s="60" t="s">
        <v>220</v>
      </c>
      <c r="R108" s="60"/>
      <c r="S108" s="60" t="s">
        <v>66</v>
      </c>
      <c r="T108" s="33"/>
      <c r="U108" s="34"/>
      <c r="V108" s="33" t="s">
        <v>45</v>
      </c>
      <c r="W108" s="33"/>
      <c r="X108" s="35"/>
      <c r="Y108" s="33"/>
      <c r="Z108" s="49"/>
      <c r="AA108" s="138"/>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5"/>
    </row>
    <row r="109" spans="1:66" ht="24" x14ac:dyDescent="0.25">
      <c r="A109" s="46">
        <v>34</v>
      </c>
      <c r="B109" s="61" t="s">
        <v>221</v>
      </c>
      <c r="C109" s="60" t="s">
        <v>222</v>
      </c>
      <c r="D109" s="61" t="s">
        <v>48</v>
      </c>
      <c r="E109" s="61" t="s">
        <v>74</v>
      </c>
      <c r="F109" s="61" t="s">
        <v>122</v>
      </c>
      <c r="G109" s="61" t="s">
        <v>43</v>
      </c>
      <c r="H109" s="61" t="s">
        <v>49</v>
      </c>
      <c r="I109" s="60" t="s">
        <v>37</v>
      </c>
      <c r="J109" s="60" t="s">
        <v>38</v>
      </c>
      <c r="K109" s="60" t="s">
        <v>39</v>
      </c>
      <c r="L109" s="61" t="s">
        <v>40</v>
      </c>
      <c r="M109" s="61"/>
      <c r="N109" s="61" t="s">
        <v>41</v>
      </c>
      <c r="O109" s="61" t="s">
        <v>42</v>
      </c>
      <c r="P109" s="61"/>
      <c r="Q109" s="60" t="s">
        <v>43</v>
      </c>
      <c r="R109" s="60"/>
      <c r="S109" s="60" t="s">
        <v>66</v>
      </c>
      <c r="T109" s="33"/>
      <c r="U109" s="34"/>
      <c r="V109" s="33" t="s">
        <v>45</v>
      </c>
      <c r="W109" s="33"/>
      <c r="X109" s="35"/>
      <c r="Y109" s="33"/>
      <c r="Z109" s="49"/>
      <c r="AA109" s="138"/>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5"/>
    </row>
    <row r="110" spans="1:66" ht="24" x14ac:dyDescent="0.25">
      <c r="A110" s="46">
        <v>35</v>
      </c>
      <c r="B110" s="61" t="s">
        <v>223</v>
      </c>
      <c r="C110" s="60" t="s">
        <v>224</v>
      </c>
      <c r="D110" s="61" t="s">
        <v>48</v>
      </c>
      <c r="E110" s="61" t="s">
        <v>74</v>
      </c>
      <c r="F110" s="61" t="s">
        <v>122</v>
      </c>
      <c r="G110" s="61" t="s">
        <v>43</v>
      </c>
      <c r="H110" s="61" t="s">
        <v>49</v>
      </c>
      <c r="I110" s="60" t="s">
        <v>185</v>
      </c>
      <c r="J110" s="60" t="s">
        <v>38</v>
      </c>
      <c r="K110" s="60" t="s">
        <v>39</v>
      </c>
      <c r="L110" s="61" t="s">
        <v>40</v>
      </c>
      <c r="M110" s="61"/>
      <c r="N110" s="61" t="s">
        <v>41</v>
      </c>
      <c r="O110" s="61" t="s">
        <v>42</v>
      </c>
      <c r="P110" s="61"/>
      <c r="Q110" s="60" t="s">
        <v>43</v>
      </c>
      <c r="R110" s="60"/>
      <c r="S110" s="60" t="s">
        <v>66</v>
      </c>
      <c r="T110" s="33"/>
      <c r="U110" s="34"/>
      <c r="V110" s="33" t="s">
        <v>45</v>
      </c>
      <c r="W110" s="33"/>
      <c r="X110" s="35"/>
      <c r="Y110" s="33"/>
      <c r="Z110" s="49"/>
      <c r="AA110" s="138"/>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5"/>
    </row>
    <row r="111" spans="1:66" ht="24" x14ac:dyDescent="0.25">
      <c r="A111" s="46">
        <v>36</v>
      </c>
      <c r="B111" s="61" t="s">
        <v>225</v>
      </c>
      <c r="C111" s="60" t="s">
        <v>226</v>
      </c>
      <c r="D111" s="61" t="s">
        <v>48</v>
      </c>
      <c r="E111" s="61" t="s">
        <v>74</v>
      </c>
      <c r="F111" s="61" t="s">
        <v>122</v>
      </c>
      <c r="G111" s="61" t="s">
        <v>43</v>
      </c>
      <c r="H111" s="61" t="s">
        <v>49</v>
      </c>
      <c r="I111" s="60" t="s">
        <v>185</v>
      </c>
      <c r="J111" s="60" t="s">
        <v>38</v>
      </c>
      <c r="K111" s="60" t="s">
        <v>39</v>
      </c>
      <c r="L111" s="61" t="s">
        <v>40</v>
      </c>
      <c r="M111" s="61"/>
      <c r="N111" s="61" t="s">
        <v>41</v>
      </c>
      <c r="O111" s="61" t="s">
        <v>42</v>
      </c>
      <c r="P111" s="61"/>
      <c r="Q111" s="60" t="s">
        <v>43</v>
      </c>
      <c r="R111" s="60"/>
      <c r="S111" s="60" t="s">
        <v>66</v>
      </c>
      <c r="T111" s="33"/>
      <c r="U111" s="34"/>
      <c r="V111" s="33" t="s">
        <v>45</v>
      </c>
      <c r="W111" s="33"/>
      <c r="X111" s="35"/>
      <c r="Y111" s="33"/>
      <c r="Z111" s="49"/>
      <c r="AA111" s="138"/>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5"/>
    </row>
    <row r="112" spans="1:66" ht="15.75" x14ac:dyDescent="0.25">
      <c r="A112" s="46">
        <v>37</v>
      </c>
      <c r="B112" s="61" t="s">
        <v>227</v>
      </c>
      <c r="C112" s="60" t="s">
        <v>228</v>
      </c>
      <c r="D112" s="61" t="s">
        <v>48</v>
      </c>
      <c r="E112" s="61" t="s">
        <v>74</v>
      </c>
      <c r="F112" s="61" t="s">
        <v>122</v>
      </c>
      <c r="G112" s="61" t="s">
        <v>43</v>
      </c>
      <c r="H112" s="61" t="s">
        <v>79</v>
      </c>
      <c r="I112" s="60" t="s">
        <v>229</v>
      </c>
      <c r="J112" s="60" t="s">
        <v>43</v>
      </c>
      <c r="K112" s="60" t="s">
        <v>43</v>
      </c>
      <c r="L112" s="61" t="s">
        <v>43</v>
      </c>
      <c r="M112" s="61"/>
      <c r="N112" s="61" t="s">
        <v>41</v>
      </c>
      <c r="O112" s="61" t="s">
        <v>42</v>
      </c>
      <c r="P112" s="61" t="s">
        <v>41</v>
      </c>
      <c r="Q112" s="60" t="s">
        <v>42</v>
      </c>
      <c r="R112" s="60"/>
      <c r="S112" s="60" t="s">
        <v>66</v>
      </c>
      <c r="T112" s="33"/>
      <c r="U112" s="34"/>
      <c r="V112" s="33" t="s">
        <v>45</v>
      </c>
      <c r="W112" s="33"/>
      <c r="X112" s="35"/>
      <c r="Y112" s="33"/>
      <c r="Z112" s="49"/>
      <c r="AA112" s="138"/>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5"/>
    </row>
    <row r="113" spans="1:66" ht="24" x14ac:dyDescent="0.25">
      <c r="A113" s="46">
        <v>38</v>
      </c>
      <c r="B113" s="137" t="s">
        <v>230</v>
      </c>
      <c r="C113" s="60" t="s">
        <v>231</v>
      </c>
      <c r="D113" s="61" t="s">
        <v>48</v>
      </c>
      <c r="E113" s="61" t="s">
        <v>34</v>
      </c>
      <c r="F113" s="61" t="s">
        <v>122</v>
      </c>
      <c r="G113" s="61" t="s">
        <v>43</v>
      </c>
      <c r="H113" s="61" t="s">
        <v>49</v>
      </c>
      <c r="I113" s="60" t="s">
        <v>229</v>
      </c>
      <c r="J113" s="60" t="s">
        <v>43</v>
      </c>
      <c r="K113" s="60" t="s">
        <v>43</v>
      </c>
      <c r="L113" s="61" t="s">
        <v>43</v>
      </c>
      <c r="M113" s="61"/>
      <c r="N113" s="61" t="s">
        <v>41</v>
      </c>
      <c r="O113" s="61" t="s">
        <v>42</v>
      </c>
      <c r="P113" s="61"/>
      <c r="Q113" s="60" t="s">
        <v>43</v>
      </c>
      <c r="R113" s="60"/>
      <c r="S113" s="60" t="s">
        <v>232</v>
      </c>
      <c r="T113" s="33"/>
      <c r="U113" s="34"/>
      <c r="V113" s="33" t="s">
        <v>45</v>
      </c>
      <c r="W113" s="33"/>
      <c r="X113" s="35"/>
      <c r="Y113" s="33"/>
      <c r="Z113" s="49"/>
      <c r="AA113" s="138"/>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5"/>
    </row>
    <row r="114" spans="1:66" s="1" customFormat="1" ht="36" x14ac:dyDescent="0.25">
      <c r="A114" s="63">
        <v>39</v>
      </c>
      <c r="B114" s="141" t="s">
        <v>233</v>
      </c>
      <c r="C114" s="47" t="s">
        <v>234</v>
      </c>
      <c r="D114" s="48"/>
      <c r="E114" s="48" t="s">
        <v>34</v>
      </c>
      <c r="F114" s="48" t="s">
        <v>122</v>
      </c>
      <c r="G114" s="48" t="s">
        <v>43</v>
      </c>
      <c r="H114" s="48" t="s">
        <v>36</v>
      </c>
      <c r="I114" s="47" t="s">
        <v>235</v>
      </c>
      <c r="J114" s="47" t="s">
        <v>236</v>
      </c>
      <c r="K114" s="47" t="s">
        <v>43</v>
      </c>
      <c r="L114" s="48" t="s">
        <v>43</v>
      </c>
      <c r="M114" s="48"/>
      <c r="N114" s="48" t="s">
        <v>237</v>
      </c>
      <c r="O114" s="48" t="s">
        <v>42</v>
      </c>
      <c r="P114" s="48"/>
      <c r="Q114" s="47" t="s">
        <v>238</v>
      </c>
      <c r="R114" s="47"/>
      <c r="S114" s="47" t="s">
        <v>66</v>
      </c>
      <c r="T114" s="33" t="s">
        <v>45</v>
      </c>
      <c r="U114" s="34"/>
      <c r="V114" s="33" t="s">
        <v>45</v>
      </c>
      <c r="W114" s="33"/>
      <c r="X114" s="35"/>
      <c r="Y114" s="33"/>
      <c r="Z114" s="49"/>
      <c r="AA114" s="142"/>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5"/>
    </row>
    <row r="115" spans="1:66" s="1" customFormat="1" ht="24" x14ac:dyDescent="0.25">
      <c r="A115" s="63">
        <v>40</v>
      </c>
      <c r="B115" s="141" t="s">
        <v>239</v>
      </c>
      <c r="C115" s="47" t="s">
        <v>240</v>
      </c>
      <c r="D115" s="48"/>
      <c r="E115" s="48" t="s">
        <v>34</v>
      </c>
      <c r="F115" s="48" t="s">
        <v>122</v>
      </c>
      <c r="G115" s="48" t="s">
        <v>43</v>
      </c>
      <c r="H115" s="48" t="s">
        <v>79</v>
      </c>
      <c r="I115" s="47" t="s">
        <v>235</v>
      </c>
      <c r="J115" s="47" t="s">
        <v>236</v>
      </c>
      <c r="K115" s="47" t="s">
        <v>43</v>
      </c>
      <c r="L115" s="48" t="s">
        <v>43</v>
      </c>
      <c r="M115" s="48"/>
      <c r="N115" s="48" t="s">
        <v>237</v>
      </c>
      <c r="O115" s="48" t="s">
        <v>42</v>
      </c>
      <c r="P115" s="48"/>
      <c r="Q115" s="47" t="s">
        <v>238</v>
      </c>
      <c r="R115" s="47"/>
      <c r="S115" s="47" t="s">
        <v>66</v>
      </c>
      <c r="T115" s="33" t="s">
        <v>45</v>
      </c>
      <c r="U115" s="34"/>
      <c r="V115" s="33" t="s">
        <v>45</v>
      </c>
      <c r="W115" s="33"/>
      <c r="X115" s="35"/>
      <c r="Y115" s="33"/>
      <c r="Z115" s="49"/>
      <c r="AA115" s="142"/>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5"/>
    </row>
    <row r="116" spans="1:66" ht="15.75" x14ac:dyDescent="0.25">
      <c r="A116" s="126"/>
      <c r="B116" s="143"/>
      <c r="C116" s="144"/>
      <c r="D116" s="145"/>
      <c r="E116" s="145"/>
      <c r="F116" s="145"/>
      <c r="G116" s="145"/>
      <c r="H116" s="145"/>
      <c r="I116" s="144"/>
      <c r="J116" s="144"/>
      <c r="K116" s="144"/>
      <c r="L116" s="145"/>
      <c r="M116" s="145"/>
      <c r="N116" s="145"/>
      <c r="O116" s="145"/>
      <c r="P116" s="145"/>
      <c r="Q116" s="144"/>
      <c r="R116" s="144"/>
      <c r="S116" s="128"/>
      <c r="T116" s="130"/>
      <c r="U116" s="131"/>
      <c r="V116" s="130"/>
      <c r="W116" s="130"/>
      <c r="X116" s="132"/>
      <c r="Y116" s="130"/>
      <c r="Z116" s="133"/>
      <c r="AA116" s="146" t="s">
        <v>241</v>
      </c>
      <c r="AB116" s="147" t="s">
        <v>242</v>
      </c>
      <c r="AC116" s="147" t="s">
        <v>243</v>
      </c>
      <c r="AD116" s="147" t="s">
        <v>244</v>
      </c>
      <c r="AE116" s="147" t="s">
        <v>245</v>
      </c>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6"/>
    </row>
    <row r="117" spans="1:66" ht="15.75" x14ac:dyDescent="0.25">
      <c r="A117" s="46">
        <v>41</v>
      </c>
      <c r="B117" s="141" t="s">
        <v>246</v>
      </c>
      <c r="C117" s="47" t="s">
        <v>247</v>
      </c>
      <c r="D117" s="48"/>
      <c r="E117" s="48" t="s">
        <v>43</v>
      </c>
      <c r="F117" s="48" t="s">
        <v>248</v>
      </c>
      <c r="G117" s="48" t="s">
        <v>43</v>
      </c>
      <c r="H117" s="48" t="s">
        <v>36</v>
      </c>
      <c r="I117" s="47" t="s">
        <v>249</v>
      </c>
      <c r="J117" s="47" t="s">
        <v>43</v>
      </c>
      <c r="K117" s="47" t="s">
        <v>43</v>
      </c>
      <c r="L117" s="48" t="s">
        <v>43</v>
      </c>
      <c r="M117" s="48"/>
      <c r="N117" s="48" t="s">
        <v>237</v>
      </c>
      <c r="O117" s="48" t="s">
        <v>42</v>
      </c>
      <c r="P117" s="48"/>
      <c r="Q117" s="47" t="s">
        <v>43</v>
      </c>
      <c r="R117" s="47"/>
      <c r="S117" s="47" t="s">
        <v>250</v>
      </c>
      <c r="T117" s="33" t="s">
        <v>45</v>
      </c>
      <c r="U117" s="34" t="s">
        <v>45</v>
      </c>
      <c r="V117" s="33"/>
      <c r="W117" s="33"/>
      <c r="X117" s="35"/>
      <c r="Y117" s="33"/>
      <c r="Z117" s="49"/>
      <c r="AA117" s="138"/>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5"/>
    </row>
    <row r="118" spans="1:66" ht="15.75" x14ac:dyDescent="0.25">
      <c r="A118" s="46"/>
      <c r="B118" s="148" t="s">
        <v>3</v>
      </c>
      <c r="C118" s="149"/>
      <c r="D118" s="150"/>
      <c r="E118" s="150"/>
      <c r="F118" s="150"/>
      <c r="G118" s="150"/>
      <c r="H118" s="150"/>
      <c r="I118" s="149"/>
      <c r="J118" s="149"/>
      <c r="K118" s="149"/>
      <c r="L118" s="150"/>
      <c r="M118" s="150"/>
      <c r="N118" s="150"/>
      <c r="O118" s="150"/>
      <c r="P118" s="150"/>
      <c r="Q118" s="149"/>
      <c r="R118" s="149"/>
      <c r="S118" s="149"/>
      <c r="T118" s="33"/>
      <c r="U118" s="34"/>
      <c r="V118" s="33"/>
      <c r="W118" s="33"/>
      <c r="X118" s="35"/>
      <c r="Y118" s="33"/>
      <c r="Z118" s="49"/>
      <c r="AA118" s="151" t="s">
        <v>251</v>
      </c>
      <c r="AB118" s="152" t="s">
        <v>252</v>
      </c>
      <c r="AC118" s="152" t="s">
        <v>253</v>
      </c>
      <c r="AD118" s="152" t="s">
        <v>253</v>
      </c>
      <c r="AE118" s="152" t="s">
        <v>253</v>
      </c>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5"/>
    </row>
    <row r="119" spans="1:66" ht="24" x14ac:dyDescent="0.25">
      <c r="A119" s="46"/>
      <c r="B119" s="148" t="s">
        <v>4</v>
      </c>
      <c r="C119" s="149"/>
      <c r="D119" s="150"/>
      <c r="E119" s="150"/>
      <c r="F119" s="150"/>
      <c r="G119" s="150"/>
      <c r="H119" s="150"/>
      <c r="I119" s="149"/>
      <c r="J119" s="149"/>
      <c r="K119" s="149"/>
      <c r="L119" s="150"/>
      <c r="M119" s="150"/>
      <c r="N119" s="150"/>
      <c r="O119" s="150"/>
      <c r="P119" s="150"/>
      <c r="Q119" s="149"/>
      <c r="R119" s="149"/>
      <c r="S119" s="149"/>
      <c r="T119" s="33"/>
      <c r="U119" s="34"/>
      <c r="V119" s="33"/>
      <c r="W119" s="33"/>
      <c r="X119" s="35"/>
      <c r="Y119" s="33"/>
      <c r="Z119" s="49"/>
      <c r="AA119" s="151" t="s">
        <v>251</v>
      </c>
      <c r="AB119" s="152" t="s">
        <v>252</v>
      </c>
      <c r="AC119" s="152" t="s">
        <v>252</v>
      </c>
      <c r="AD119" s="152" t="s">
        <v>252</v>
      </c>
      <c r="AE119" s="152" t="s">
        <v>252</v>
      </c>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5"/>
    </row>
    <row r="120" spans="1:66" ht="24" x14ac:dyDescent="0.25">
      <c r="A120" s="46"/>
      <c r="B120" s="148" t="s">
        <v>5</v>
      </c>
      <c r="C120" s="149"/>
      <c r="D120" s="150"/>
      <c r="E120" s="150"/>
      <c r="F120" s="150"/>
      <c r="G120" s="150"/>
      <c r="H120" s="150"/>
      <c r="I120" s="149"/>
      <c r="J120" s="149"/>
      <c r="K120" s="149"/>
      <c r="L120" s="150"/>
      <c r="M120" s="150"/>
      <c r="N120" s="150"/>
      <c r="O120" s="150"/>
      <c r="P120" s="150"/>
      <c r="Q120" s="149"/>
      <c r="R120" s="149"/>
      <c r="S120" s="149"/>
      <c r="T120" s="33"/>
      <c r="U120" s="34"/>
      <c r="V120" s="33"/>
      <c r="W120" s="33"/>
      <c r="X120" s="35"/>
      <c r="Y120" s="33"/>
      <c r="Z120" s="49"/>
      <c r="AA120" s="151" t="s">
        <v>251</v>
      </c>
      <c r="AB120" s="152" t="s">
        <v>254</v>
      </c>
      <c r="AC120" s="152" t="s">
        <v>252</v>
      </c>
      <c r="AD120" s="152" t="s">
        <v>252</v>
      </c>
      <c r="AE120" s="152" t="s">
        <v>254</v>
      </c>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5"/>
    </row>
    <row r="121" spans="1:66" ht="24" x14ac:dyDescent="0.25">
      <c r="A121" s="46"/>
      <c r="B121" s="148" t="s">
        <v>139</v>
      </c>
      <c r="C121" s="149"/>
      <c r="D121" s="150"/>
      <c r="E121" s="150"/>
      <c r="F121" s="150"/>
      <c r="G121" s="150"/>
      <c r="H121" s="150"/>
      <c r="I121" s="149"/>
      <c r="J121" s="149"/>
      <c r="K121" s="149"/>
      <c r="L121" s="150"/>
      <c r="M121" s="150"/>
      <c r="N121" s="150"/>
      <c r="O121" s="150"/>
      <c r="P121" s="150"/>
      <c r="Q121" s="149"/>
      <c r="R121" s="149"/>
      <c r="S121" s="149"/>
      <c r="T121" s="33"/>
      <c r="U121" s="34"/>
      <c r="V121" s="33"/>
      <c r="W121" s="33"/>
      <c r="X121" s="35"/>
      <c r="Y121" s="33"/>
      <c r="Z121" s="49"/>
      <c r="AA121" s="151" t="s">
        <v>251</v>
      </c>
      <c r="AB121" s="152" t="s">
        <v>252</v>
      </c>
      <c r="AC121" s="152" t="s">
        <v>252</v>
      </c>
      <c r="AD121" s="152" t="s">
        <v>252</v>
      </c>
      <c r="AE121" s="152" t="s">
        <v>252</v>
      </c>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5"/>
    </row>
    <row r="122" spans="1:66" ht="24" x14ac:dyDescent="0.25">
      <c r="A122" s="46"/>
      <c r="B122" s="148" t="s">
        <v>7</v>
      </c>
      <c r="C122" s="149"/>
      <c r="D122" s="150"/>
      <c r="E122" s="150"/>
      <c r="F122" s="150"/>
      <c r="G122" s="150"/>
      <c r="H122" s="150"/>
      <c r="I122" s="149"/>
      <c r="J122" s="149"/>
      <c r="K122" s="149"/>
      <c r="L122" s="150"/>
      <c r="M122" s="150"/>
      <c r="N122" s="150"/>
      <c r="O122" s="150"/>
      <c r="P122" s="150"/>
      <c r="Q122" s="149"/>
      <c r="R122" s="149"/>
      <c r="S122" s="149"/>
      <c r="T122" s="33"/>
      <c r="U122" s="34"/>
      <c r="V122" s="33"/>
      <c r="W122" s="33"/>
      <c r="X122" s="35"/>
      <c r="Y122" s="33"/>
      <c r="Z122" s="49"/>
      <c r="AA122" s="151" t="s">
        <v>251</v>
      </c>
      <c r="AB122" s="152" t="s">
        <v>252</v>
      </c>
      <c r="AC122" s="152" t="s">
        <v>252</v>
      </c>
      <c r="AD122" s="152" t="s">
        <v>252</v>
      </c>
      <c r="AE122" s="152" t="s">
        <v>252</v>
      </c>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5"/>
    </row>
    <row r="123" spans="1:66" ht="24" x14ac:dyDescent="0.25">
      <c r="A123" s="46"/>
      <c r="B123" s="148" t="s">
        <v>8</v>
      </c>
      <c r="C123" s="149"/>
      <c r="D123" s="150"/>
      <c r="E123" s="150"/>
      <c r="F123" s="150"/>
      <c r="G123" s="150"/>
      <c r="H123" s="150"/>
      <c r="I123" s="149"/>
      <c r="J123" s="149"/>
      <c r="K123" s="149"/>
      <c r="L123" s="150"/>
      <c r="M123" s="150"/>
      <c r="N123" s="150"/>
      <c r="O123" s="150"/>
      <c r="P123" s="150"/>
      <c r="Q123" s="149"/>
      <c r="R123" s="149"/>
      <c r="S123" s="149"/>
      <c r="T123" s="33"/>
      <c r="U123" s="34"/>
      <c r="V123" s="33"/>
      <c r="W123" s="33"/>
      <c r="X123" s="35"/>
      <c r="Y123" s="33"/>
      <c r="Z123" s="49"/>
      <c r="AA123" s="151" t="s">
        <v>251</v>
      </c>
      <c r="AB123" s="152" t="s">
        <v>253</v>
      </c>
      <c r="AC123" s="152" t="s">
        <v>253</v>
      </c>
      <c r="AD123" s="152" t="s">
        <v>252</v>
      </c>
      <c r="AE123" s="152" t="s">
        <v>252</v>
      </c>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5"/>
    </row>
    <row r="124" spans="1:66" ht="15.75" x14ac:dyDescent="0.25">
      <c r="A124" s="46"/>
      <c r="B124" s="148" t="s">
        <v>9</v>
      </c>
      <c r="C124" s="149"/>
      <c r="D124" s="150"/>
      <c r="E124" s="150"/>
      <c r="F124" s="150"/>
      <c r="G124" s="150"/>
      <c r="H124" s="150"/>
      <c r="I124" s="149"/>
      <c r="J124" s="149"/>
      <c r="K124" s="149"/>
      <c r="L124" s="150"/>
      <c r="M124" s="150"/>
      <c r="N124" s="150"/>
      <c r="O124" s="150"/>
      <c r="P124" s="150"/>
      <c r="Q124" s="149"/>
      <c r="R124" s="149"/>
      <c r="S124" s="149"/>
      <c r="T124" s="33"/>
      <c r="U124" s="34"/>
      <c r="V124" s="33"/>
      <c r="W124" s="33"/>
      <c r="X124" s="35"/>
      <c r="Y124" s="33"/>
      <c r="Z124" s="49"/>
      <c r="AA124" s="151" t="s">
        <v>251</v>
      </c>
      <c r="AB124" s="153" t="s">
        <v>253</v>
      </c>
      <c r="AC124" s="153" t="s">
        <v>253</v>
      </c>
      <c r="AD124" s="153" t="s">
        <v>255</v>
      </c>
      <c r="AE124" s="153" t="s">
        <v>255</v>
      </c>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5"/>
    </row>
    <row r="125" spans="1:66" ht="15.75" x14ac:dyDescent="0.25">
      <c r="A125" s="46"/>
      <c r="B125" s="148" t="s">
        <v>10</v>
      </c>
      <c r="C125" s="149"/>
      <c r="D125" s="150"/>
      <c r="E125" s="150"/>
      <c r="F125" s="150"/>
      <c r="G125" s="150"/>
      <c r="H125" s="150"/>
      <c r="I125" s="149"/>
      <c r="J125" s="149"/>
      <c r="K125" s="149"/>
      <c r="L125" s="150"/>
      <c r="M125" s="150"/>
      <c r="N125" s="150"/>
      <c r="O125" s="150"/>
      <c r="P125" s="150"/>
      <c r="Q125" s="149"/>
      <c r="R125" s="149"/>
      <c r="S125" s="149"/>
      <c r="T125" s="33"/>
      <c r="U125" s="34"/>
      <c r="V125" s="33"/>
      <c r="W125" s="33"/>
      <c r="X125" s="35"/>
      <c r="Y125" s="33"/>
      <c r="Z125" s="49"/>
      <c r="AA125" s="151" t="s">
        <v>251</v>
      </c>
      <c r="AB125" s="153" t="s">
        <v>253</v>
      </c>
      <c r="AC125" s="153" t="s">
        <v>253</v>
      </c>
      <c r="AD125" s="153" t="s">
        <v>255</v>
      </c>
      <c r="AE125" s="153" t="s">
        <v>255</v>
      </c>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5"/>
    </row>
    <row r="126" spans="1:66" ht="15.75" x14ac:dyDescent="0.25">
      <c r="A126" s="46">
        <v>42</v>
      </c>
      <c r="B126" s="137" t="s">
        <v>256</v>
      </c>
      <c r="C126" s="60" t="s">
        <v>257</v>
      </c>
      <c r="D126" s="61"/>
      <c r="E126" s="61" t="s">
        <v>34</v>
      </c>
      <c r="F126" s="61" t="s">
        <v>248</v>
      </c>
      <c r="G126" s="61" t="s">
        <v>43</v>
      </c>
      <c r="H126" s="61" t="s">
        <v>36</v>
      </c>
      <c r="I126" s="60" t="s">
        <v>249</v>
      </c>
      <c r="J126" s="60" t="s">
        <v>43</v>
      </c>
      <c r="K126" s="60" t="s">
        <v>43</v>
      </c>
      <c r="L126" s="61" t="s">
        <v>43</v>
      </c>
      <c r="M126" s="61"/>
      <c r="N126" s="61" t="s">
        <v>237</v>
      </c>
      <c r="O126" s="61" t="s">
        <v>42</v>
      </c>
      <c r="P126" s="61"/>
      <c r="Q126" s="60" t="s">
        <v>43</v>
      </c>
      <c r="R126" s="60"/>
      <c r="S126" s="60"/>
      <c r="T126" s="33"/>
      <c r="U126" s="34"/>
      <c r="V126" s="33" t="s">
        <v>45</v>
      </c>
      <c r="W126" s="33"/>
      <c r="X126" s="35"/>
      <c r="Y126" s="33"/>
      <c r="Z126" s="49"/>
      <c r="AA126" s="138"/>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5"/>
    </row>
    <row r="127" spans="1:66" ht="48" x14ac:dyDescent="0.25">
      <c r="A127" s="46">
        <v>43</v>
      </c>
      <c r="B127" s="141" t="s">
        <v>258</v>
      </c>
      <c r="C127" s="47" t="s">
        <v>259</v>
      </c>
      <c r="D127" s="48"/>
      <c r="E127" s="48" t="s">
        <v>34</v>
      </c>
      <c r="F127" s="48" t="s">
        <v>260</v>
      </c>
      <c r="G127" s="48" t="s">
        <v>43</v>
      </c>
      <c r="H127" s="48" t="s">
        <v>36</v>
      </c>
      <c r="I127" s="47" t="s">
        <v>261</v>
      </c>
      <c r="J127" s="47" t="s">
        <v>43</v>
      </c>
      <c r="K127" s="47" t="s">
        <v>43</v>
      </c>
      <c r="L127" s="48" t="s">
        <v>43</v>
      </c>
      <c r="M127" s="48"/>
      <c r="N127" s="48" t="s">
        <v>237</v>
      </c>
      <c r="O127" s="48" t="s">
        <v>42</v>
      </c>
      <c r="P127" s="48"/>
      <c r="Q127" s="47" t="s">
        <v>43</v>
      </c>
      <c r="R127" s="47"/>
      <c r="S127" s="47" t="s">
        <v>262</v>
      </c>
      <c r="T127" s="33" t="s">
        <v>45</v>
      </c>
      <c r="U127" s="34" t="s">
        <v>45</v>
      </c>
      <c r="V127" s="33"/>
      <c r="W127" s="33"/>
      <c r="X127" s="35"/>
      <c r="Y127" s="33"/>
      <c r="Z127" s="49"/>
      <c r="AA127" s="154">
        <v>1996</v>
      </c>
      <c r="AB127" s="154">
        <v>2001</v>
      </c>
      <c r="AC127" s="154">
        <v>2007</v>
      </c>
      <c r="AD127" s="154">
        <v>2011</v>
      </c>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5"/>
    </row>
    <row r="128" spans="1:66" ht="15.75" x14ac:dyDescent="0.25">
      <c r="A128" s="46"/>
      <c r="B128" s="91" t="s">
        <v>3</v>
      </c>
      <c r="C128" s="47"/>
      <c r="D128" s="48"/>
      <c r="E128" s="48"/>
      <c r="F128" s="48"/>
      <c r="G128" s="48"/>
      <c r="H128" s="48"/>
      <c r="I128" s="47"/>
      <c r="J128" s="47"/>
      <c r="K128" s="47"/>
      <c r="L128" s="48"/>
      <c r="M128" s="48"/>
      <c r="N128" s="48"/>
      <c r="O128" s="48"/>
      <c r="P128" s="48"/>
      <c r="Q128" s="47"/>
      <c r="R128" s="47"/>
      <c r="S128" s="47"/>
      <c r="T128" s="33"/>
      <c r="U128" s="34"/>
      <c r="V128" s="33"/>
      <c r="W128" s="33"/>
      <c r="X128" s="35"/>
      <c r="Y128" s="33"/>
      <c r="Z128" s="49"/>
      <c r="AA128" s="155">
        <v>0.27668878273807407</v>
      </c>
      <c r="AB128" s="155">
        <v>0.27278125480941878</v>
      </c>
      <c r="AC128" s="155">
        <v>0.23337080847002148</v>
      </c>
      <c r="AD128" s="156">
        <v>0.2139141720257785</v>
      </c>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5"/>
    </row>
    <row r="129" spans="1:66" ht="15.75" x14ac:dyDescent="0.25">
      <c r="A129" s="46"/>
      <c r="B129" s="91" t="s">
        <v>4</v>
      </c>
      <c r="C129" s="47"/>
      <c r="D129" s="48"/>
      <c r="E129" s="48"/>
      <c r="F129" s="48"/>
      <c r="G129" s="48"/>
      <c r="H129" s="48"/>
      <c r="I129" s="47"/>
      <c r="J129" s="47"/>
      <c r="K129" s="47"/>
      <c r="L129" s="48"/>
      <c r="M129" s="48"/>
      <c r="N129" s="48"/>
      <c r="O129" s="48"/>
      <c r="P129" s="48"/>
      <c r="Q129" s="47"/>
      <c r="R129" s="47"/>
      <c r="S129" s="47"/>
      <c r="T129" s="33"/>
      <c r="U129" s="34"/>
      <c r="V129" s="33"/>
      <c r="W129" s="33"/>
      <c r="X129" s="35"/>
      <c r="Y129" s="33"/>
      <c r="Z129" s="49"/>
      <c r="AA129" s="155">
        <v>0.25706866380450261</v>
      </c>
      <c r="AB129" s="155">
        <v>0.3071446816756509</v>
      </c>
      <c r="AC129" s="155">
        <v>0.36549625927631535</v>
      </c>
      <c r="AD129" s="156">
        <v>0.22309609910607062</v>
      </c>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5"/>
    </row>
    <row r="130" spans="1:66" ht="15.75" x14ac:dyDescent="0.25">
      <c r="A130" s="46"/>
      <c r="B130" s="91" t="s">
        <v>5</v>
      </c>
      <c r="C130" s="47"/>
      <c r="D130" s="48"/>
      <c r="E130" s="48"/>
      <c r="F130" s="48"/>
      <c r="G130" s="48"/>
      <c r="H130" s="48"/>
      <c r="I130" s="47"/>
      <c r="J130" s="47"/>
      <c r="K130" s="47"/>
      <c r="L130" s="48"/>
      <c r="M130" s="48"/>
      <c r="N130" s="48"/>
      <c r="O130" s="48"/>
      <c r="P130" s="48"/>
      <c r="Q130" s="47"/>
      <c r="R130" s="47"/>
      <c r="S130" s="47"/>
      <c r="T130" s="33"/>
      <c r="U130" s="34"/>
      <c r="V130" s="33"/>
      <c r="W130" s="33"/>
      <c r="X130" s="35"/>
      <c r="Y130" s="33"/>
      <c r="Z130" s="49"/>
      <c r="AA130" s="155">
        <v>0.24231750320305637</v>
      </c>
      <c r="AB130" s="155">
        <v>0.2385136228441409</v>
      </c>
      <c r="AC130" s="155">
        <v>0.18655136179336407</v>
      </c>
      <c r="AD130" s="156">
        <v>0.26123900694147617</v>
      </c>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5"/>
    </row>
    <row r="131" spans="1:66" ht="15.75" x14ac:dyDescent="0.25">
      <c r="A131" s="46"/>
      <c r="B131" s="91" t="s">
        <v>139</v>
      </c>
      <c r="C131" s="47"/>
      <c r="D131" s="48"/>
      <c r="E131" s="48"/>
      <c r="F131" s="48"/>
      <c r="G131" s="48"/>
      <c r="H131" s="48"/>
      <c r="I131" s="47"/>
      <c r="J131" s="47"/>
      <c r="K131" s="47"/>
      <c r="L131" s="48"/>
      <c r="M131" s="48"/>
      <c r="N131" s="48"/>
      <c r="O131" s="48"/>
      <c r="P131" s="48"/>
      <c r="Q131" s="47"/>
      <c r="R131" s="47"/>
      <c r="S131" s="47"/>
      <c r="T131" s="33"/>
      <c r="U131" s="34"/>
      <c r="V131" s="33"/>
      <c r="W131" s="33"/>
      <c r="X131" s="35"/>
      <c r="Y131" s="33"/>
      <c r="Z131" s="49"/>
      <c r="AA131" s="155">
        <v>0.30911313984005517</v>
      </c>
      <c r="AB131" s="155">
        <v>0.2625784159497998</v>
      </c>
      <c r="AC131" s="155">
        <v>0.22470181324034341</v>
      </c>
      <c r="AD131" s="156">
        <v>0.19744504506410523</v>
      </c>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5"/>
    </row>
    <row r="132" spans="1:66" ht="15.75" x14ac:dyDescent="0.25">
      <c r="A132" s="46"/>
      <c r="B132" s="91" t="s">
        <v>7</v>
      </c>
      <c r="C132" s="47"/>
      <c r="D132" s="48"/>
      <c r="E132" s="48"/>
      <c r="F132" s="48"/>
      <c r="G132" s="48"/>
      <c r="H132" s="48"/>
      <c r="I132" s="47"/>
      <c r="J132" s="47"/>
      <c r="K132" s="47"/>
      <c r="L132" s="48"/>
      <c r="M132" s="48"/>
      <c r="N132" s="48"/>
      <c r="O132" s="48"/>
      <c r="P132" s="48"/>
      <c r="Q132" s="47"/>
      <c r="R132" s="47"/>
      <c r="S132" s="47"/>
      <c r="T132" s="33"/>
      <c r="U132" s="34"/>
      <c r="V132" s="33"/>
      <c r="W132" s="33"/>
      <c r="X132" s="35"/>
      <c r="Y132" s="33"/>
      <c r="Z132" s="49"/>
      <c r="AA132" s="155">
        <v>0.41482017784637737</v>
      </c>
      <c r="AB132" s="155">
        <v>0.40888164829899376</v>
      </c>
      <c r="AC132" s="155">
        <v>0.35372493590899151</v>
      </c>
      <c r="AD132" s="156">
        <v>0.27759995625463368</v>
      </c>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5"/>
    </row>
    <row r="133" spans="1:66" ht="15.75" x14ac:dyDescent="0.25">
      <c r="A133" s="46"/>
      <c r="B133" s="91" t="s">
        <v>8</v>
      </c>
      <c r="C133" s="47"/>
      <c r="D133" s="48"/>
      <c r="E133" s="48"/>
      <c r="F133" s="48"/>
      <c r="G133" s="48"/>
      <c r="H133" s="48"/>
      <c r="I133" s="47"/>
      <c r="J133" s="47"/>
      <c r="K133" s="47"/>
      <c r="L133" s="48"/>
      <c r="M133" s="48"/>
      <c r="N133" s="48"/>
      <c r="O133" s="48"/>
      <c r="P133" s="48"/>
      <c r="Q133" s="47"/>
      <c r="R133" s="47"/>
      <c r="S133" s="47"/>
      <c r="T133" s="33"/>
      <c r="U133" s="34"/>
      <c r="V133" s="33"/>
      <c r="W133" s="33"/>
      <c r="X133" s="35"/>
      <c r="Y133" s="33"/>
      <c r="Z133" s="49"/>
      <c r="AA133" s="155">
        <v>0.37732680718208328</v>
      </c>
      <c r="AB133" s="155">
        <v>0.30484789469122647</v>
      </c>
      <c r="AC133" s="155">
        <v>0.16060875079264425</v>
      </c>
      <c r="AD133" s="156">
        <v>0.13750915465799615</v>
      </c>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5"/>
    </row>
    <row r="134" spans="1:66" ht="15.75" x14ac:dyDescent="0.25">
      <c r="A134" s="46"/>
      <c r="B134" s="91" t="s">
        <v>9</v>
      </c>
      <c r="C134" s="47"/>
      <c r="D134" s="48"/>
      <c r="E134" s="48"/>
      <c r="F134" s="48"/>
      <c r="G134" s="48"/>
      <c r="H134" s="48"/>
      <c r="I134" s="47"/>
      <c r="J134" s="47"/>
      <c r="K134" s="47"/>
      <c r="L134" s="48"/>
      <c r="M134" s="48"/>
      <c r="N134" s="48"/>
      <c r="O134" s="48"/>
      <c r="P134" s="48"/>
      <c r="Q134" s="47"/>
      <c r="R134" s="47"/>
      <c r="S134" s="47"/>
      <c r="T134" s="33"/>
      <c r="U134" s="34"/>
      <c r="V134" s="33"/>
      <c r="W134" s="33"/>
      <c r="X134" s="35"/>
      <c r="Y134" s="33"/>
      <c r="Z134" s="49"/>
      <c r="AA134" s="155">
        <v>0.42813286361348774</v>
      </c>
      <c r="AB134" s="155">
        <v>0.45585215605749491</v>
      </c>
      <c r="AC134" s="155">
        <v>0.3456882025323309</v>
      </c>
      <c r="AD134" s="156">
        <v>0.30732246238165184</v>
      </c>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5"/>
    </row>
    <row r="135" spans="1:66" ht="15.75" x14ac:dyDescent="0.25">
      <c r="A135" s="46"/>
      <c r="B135" s="91" t="s">
        <v>10</v>
      </c>
      <c r="C135" s="47"/>
      <c r="D135" s="48"/>
      <c r="E135" s="48"/>
      <c r="F135" s="48"/>
      <c r="G135" s="48"/>
      <c r="H135" s="48"/>
      <c r="I135" s="47"/>
      <c r="J135" s="47"/>
      <c r="K135" s="47"/>
      <c r="L135" s="48"/>
      <c r="M135" s="48"/>
      <c r="N135" s="48"/>
      <c r="O135" s="48"/>
      <c r="P135" s="48"/>
      <c r="Q135" s="47"/>
      <c r="R135" s="47"/>
      <c r="S135" s="47"/>
      <c r="T135" s="33"/>
      <c r="U135" s="34"/>
      <c r="V135" s="33"/>
      <c r="W135" s="33"/>
      <c r="X135" s="35"/>
      <c r="Y135" s="33"/>
      <c r="Z135" s="49"/>
      <c r="AA135" s="155">
        <v>0.32097534863545324</v>
      </c>
      <c r="AB135" s="155">
        <v>0.3302303494437242</v>
      </c>
      <c r="AC135" s="155">
        <v>0.23146122510561254</v>
      </c>
      <c r="AD135" s="156">
        <v>0.16872701424730355</v>
      </c>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5"/>
    </row>
    <row r="136" spans="1:66" ht="15.75" x14ac:dyDescent="0.25">
      <c r="A136" s="46"/>
      <c r="B136" s="91" t="s">
        <v>263</v>
      </c>
      <c r="C136" s="47"/>
      <c r="D136" s="48"/>
      <c r="E136" s="48"/>
      <c r="F136" s="48"/>
      <c r="G136" s="48"/>
      <c r="H136" s="48"/>
      <c r="I136" s="47"/>
      <c r="J136" s="47"/>
      <c r="K136" s="47"/>
      <c r="L136" s="48"/>
      <c r="M136" s="48"/>
      <c r="N136" s="48"/>
      <c r="O136" s="48"/>
      <c r="P136" s="48"/>
      <c r="Q136" s="47"/>
      <c r="R136" s="47"/>
      <c r="S136" s="47"/>
      <c r="T136" s="33"/>
      <c r="U136" s="34"/>
      <c r="V136" s="33"/>
      <c r="W136" s="33"/>
      <c r="X136" s="35"/>
      <c r="Y136" s="33"/>
      <c r="Z136" s="49"/>
      <c r="AA136" s="155">
        <v>0.12245589000012091</v>
      </c>
      <c r="AB136" s="155">
        <v>0.18124055807340261</v>
      </c>
      <c r="AC136" s="155">
        <v>3.7442569038061618E-2</v>
      </c>
      <c r="AD136" s="156">
        <v>0.11166366028430999</v>
      </c>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5"/>
    </row>
    <row r="137" spans="1:66" ht="15.75" x14ac:dyDescent="0.25">
      <c r="A137" s="46"/>
      <c r="B137" s="141"/>
      <c r="C137" s="47"/>
      <c r="D137" s="48"/>
      <c r="E137" s="48"/>
      <c r="F137" s="48"/>
      <c r="G137" s="48"/>
      <c r="H137" s="48"/>
      <c r="I137" s="47"/>
      <c r="J137" s="47"/>
      <c r="K137" s="47"/>
      <c r="L137" s="48"/>
      <c r="M137" s="48"/>
      <c r="N137" s="48"/>
      <c r="O137" s="48"/>
      <c r="P137" s="48"/>
      <c r="Q137" s="47"/>
      <c r="R137" s="47"/>
      <c r="S137" s="47"/>
      <c r="T137" s="33"/>
      <c r="U137" s="34"/>
      <c r="V137" s="33"/>
      <c r="W137" s="33"/>
      <c r="X137" s="35"/>
      <c r="Y137" s="33"/>
      <c r="Z137" s="49"/>
      <c r="AA137" s="138"/>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5"/>
    </row>
    <row r="138" spans="1:66" ht="15.75" x14ac:dyDescent="0.25">
      <c r="A138" s="46">
        <v>44</v>
      </c>
      <c r="B138" s="137" t="s">
        <v>264</v>
      </c>
      <c r="C138" s="60" t="s">
        <v>265</v>
      </c>
      <c r="D138" s="61"/>
      <c r="E138" s="61" t="s">
        <v>34</v>
      </c>
      <c r="F138" s="61" t="s">
        <v>260</v>
      </c>
      <c r="G138" s="61" t="s">
        <v>43</v>
      </c>
      <c r="H138" s="61" t="s">
        <v>36</v>
      </c>
      <c r="I138" s="60" t="s">
        <v>261</v>
      </c>
      <c r="J138" s="60" t="s">
        <v>43</v>
      </c>
      <c r="K138" s="60" t="s">
        <v>43</v>
      </c>
      <c r="L138" s="61" t="s">
        <v>43</v>
      </c>
      <c r="M138" s="61"/>
      <c r="N138" s="61" t="s">
        <v>237</v>
      </c>
      <c r="O138" s="61" t="s">
        <v>42</v>
      </c>
      <c r="P138" s="61"/>
      <c r="Q138" s="60" t="s">
        <v>43</v>
      </c>
      <c r="R138" s="60"/>
      <c r="S138" s="60"/>
      <c r="T138" s="33"/>
      <c r="U138" s="34"/>
      <c r="V138" s="33" t="s">
        <v>45</v>
      </c>
      <c r="W138" s="33"/>
      <c r="X138" s="35"/>
      <c r="Y138" s="33"/>
      <c r="Z138" s="49"/>
      <c r="AA138" s="138"/>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5"/>
    </row>
    <row r="139" spans="1:66" ht="15.75" x14ac:dyDescent="0.25">
      <c r="A139" s="46">
        <v>45</v>
      </c>
      <c r="B139" s="137" t="s">
        <v>266</v>
      </c>
      <c r="C139" s="60" t="s">
        <v>267</v>
      </c>
      <c r="D139" s="61"/>
      <c r="E139" s="61" t="s">
        <v>34</v>
      </c>
      <c r="F139" s="61" t="s">
        <v>260</v>
      </c>
      <c r="G139" s="61" t="s">
        <v>43</v>
      </c>
      <c r="H139" s="61" t="s">
        <v>36</v>
      </c>
      <c r="I139" s="60" t="s">
        <v>261</v>
      </c>
      <c r="J139" s="60" t="s">
        <v>43</v>
      </c>
      <c r="K139" s="60" t="s">
        <v>43</v>
      </c>
      <c r="L139" s="61" t="s">
        <v>43</v>
      </c>
      <c r="M139" s="61"/>
      <c r="N139" s="61" t="s">
        <v>237</v>
      </c>
      <c r="O139" s="61" t="s">
        <v>42</v>
      </c>
      <c r="P139" s="61"/>
      <c r="Q139" s="60" t="s">
        <v>43</v>
      </c>
      <c r="R139" s="60"/>
      <c r="S139" s="60"/>
      <c r="T139" s="33"/>
      <c r="U139" s="34"/>
      <c r="V139" s="33" t="s">
        <v>45</v>
      </c>
      <c r="W139" s="33"/>
      <c r="X139" s="35"/>
      <c r="Y139" s="33"/>
      <c r="Z139" s="49"/>
      <c r="AA139" s="138"/>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5"/>
    </row>
    <row r="140" spans="1:66" ht="24" x14ac:dyDescent="0.25">
      <c r="A140" s="46">
        <v>46</v>
      </c>
      <c r="B140" s="137" t="s">
        <v>268</v>
      </c>
      <c r="C140" s="60" t="s">
        <v>269</v>
      </c>
      <c r="D140" s="61" t="s">
        <v>270</v>
      </c>
      <c r="E140" s="61" t="s">
        <v>270</v>
      </c>
      <c r="F140" s="61" t="s">
        <v>271</v>
      </c>
      <c r="G140" s="61" t="s">
        <v>64</v>
      </c>
      <c r="H140" s="61" t="s">
        <v>49</v>
      </c>
      <c r="I140" s="60" t="s">
        <v>235</v>
      </c>
      <c r="J140" s="60" t="s">
        <v>236</v>
      </c>
      <c r="K140" s="60" t="s">
        <v>43</v>
      </c>
      <c r="L140" s="61" t="s">
        <v>43</v>
      </c>
      <c r="M140" s="61"/>
      <c r="N140" s="61" t="s">
        <v>237</v>
      </c>
      <c r="O140" s="61" t="s">
        <v>42</v>
      </c>
      <c r="P140" s="61"/>
      <c r="Q140" s="60" t="s">
        <v>238</v>
      </c>
      <c r="R140" s="60"/>
      <c r="S140" s="60"/>
      <c r="T140" s="33"/>
      <c r="U140" s="34"/>
      <c r="V140" s="33" t="s">
        <v>45</v>
      </c>
      <c r="W140" s="33"/>
      <c r="X140" s="35"/>
      <c r="Y140" s="33"/>
      <c r="Z140" s="49"/>
      <c r="AA140" s="138"/>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157"/>
      <c r="AZ140" s="44"/>
      <c r="BA140" s="44"/>
      <c r="BB140" s="44"/>
      <c r="BC140" s="44"/>
      <c r="BD140" s="44"/>
      <c r="BE140" s="44"/>
      <c r="BF140" s="44"/>
      <c r="BG140" s="44"/>
      <c r="BH140" s="44"/>
      <c r="BI140" s="44"/>
      <c r="BJ140" s="44"/>
      <c r="BK140" s="44"/>
      <c r="BL140" s="44"/>
      <c r="BM140" s="44"/>
      <c r="BN140" s="45"/>
    </row>
    <row r="141" spans="1:66" s="1" customFormat="1" ht="15.75" x14ac:dyDescent="0.25">
      <c r="A141" s="146"/>
      <c r="B141" s="7"/>
      <c r="C141" s="158"/>
      <c r="D141" s="159"/>
      <c r="E141" s="159"/>
      <c r="F141" s="159"/>
      <c r="G141" s="159"/>
      <c r="H141" s="159"/>
      <c r="I141" s="158"/>
      <c r="J141" s="158"/>
      <c r="K141" s="158"/>
      <c r="L141" s="159"/>
      <c r="M141" s="159"/>
      <c r="N141" s="159"/>
      <c r="O141" s="159"/>
      <c r="P141" s="159"/>
      <c r="Q141" s="158"/>
      <c r="R141" s="158"/>
      <c r="S141" s="128"/>
      <c r="T141" s="130"/>
      <c r="U141" s="131"/>
      <c r="V141" s="130"/>
      <c r="W141" s="130"/>
      <c r="X141" s="132"/>
      <c r="Y141" s="130"/>
      <c r="Z141" s="133"/>
      <c r="AA141" s="160" t="s">
        <v>3</v>
      </c>
      <c r="AB141" s="161"/>
      <c r="AC141" s="161"/>
      <c r="AD141" s="161"/>
      <c r="AE141" s="105"/>
      <c r="AF141" s="162" t="s">
        <v>4</v>
      </c>
      <c r="AG141" s="163"/>
      <c r="AH141" s="163"/>
      <c r="AI141" s="163"/>
      <c r="AJ141" s="164"/>
      <c r="AK141" s="163" t="s">
        <v>5</v>
      </c>
      <c r="AL141" s="163"/>
      <c r="AM141" s="163"/>
      <c r="AN141" s="163"/>
      <c r="AO141" s="163"/>
      <c r="AP141" s="162" t="s">
        <v>139</v>
      </c>
      <c r="AQ141" s="163"/>
      <c r="AR141" s="163"/>
      <c r="AS141" s="163"/>
      <c r="AT141" s="164"/>
      <c r="AU141" s="163" t="s">
        <v>7</v>
      </c>
      <c r="AV141" s="163"/>
      <c r="AW141" s="163"/>
      <c r="AX141" s="163"/>
      <c r="AY141" s="164"/>
      <c r="AZ141" s="163" t="s">
        <v>8</v>
      </c>
      <c r="BA141" s="163"/>
      <c r="BB141" s="163"/>
      <c r="BC141" s="163"/>
      <c r="BD141" s="164"/>
      <c r="BE141" s="163" t="s">
        <v>9</v>
      </c>
      <c r="BF141" s="163"/>
      <c r="BG141" s="163"/>
      <c r="BH141" s="163"/>
      <c r="BI141" s="163"/>
      <c r="BJ141" s="162" t="s">
        <v>10</v>
      </c>
      <c r="BK141" s="163"/>
      <c r="BL141" s="163"/>
      <c r="BM141" s="163"/>
      <c r="BN141" s="164"/>
    </row>
    <row r="142" spans="1:66" ht="15.75" x14ac:dyDescent="0.25">
      <c r="A142" s="138"/>
      <c r="B142" s="50"/>
      <c r="C142" s="165"/>
      <c r="D142" s="166"/>
      <c r="E142" s="166"/>
      <c r="F142" s="166"/>
      <c r="G142" s="166"/>
      <c r="H142" s="166"/>
      <c r="I142" s="165"/>
      <c r="J142" s="165"/>
      <c r="K142" s="165"/>
      <c r="L142" s="166"/>
      <c r="M142" s="166"/>
      <c r="N142" s="166"/>
      <c r="O142" s="166"/>
      <c r="P142" s="166"/>
      <c r="Q142" s="165"/>
      <c r="R142" s="165"/>
      <c r="S142" s="165"/>
      <c r="T142" s="33"/>
      <c r="U142" s="34"/>
      <c r="V142" s="33"/>
      <c r="W142" s="33"/>
      <c r="X142" s="35"/>
      <c r="Y142" s="33"/>
      <c r="Z142" s="49"/>
      <c r="AA142" s="167" t="s">
        <v>241</v>
      </c>
      <c r="AB142" s="168" t="s">
        <v>242</v>
      </c>
      <c r="AC142" s="168" t="s">
        <v>243</v>
      </c>
      <c r="AD142" s="168" t="s">
        <v>244</v>
      </c>
      <c r="AE142" s="168" t="s">
        <v>245</v>
      </c>
      <c r="AF142" s="167" t="s">
        <v>241</v>
      </c>
      <c r="AG142" s="168" t="s">
        <v>242</v>
      </c>
      <c r="AH142" s="168" t="s">
        <v>243</v>
      </c>
      <c r="AI142" s="168" t="s">
        <v>244</v>
      </c>
      <c r="AJ142" s="169" t="s">
        <v>245</v>
      </c>
      <c r="AK142" s="170" t="s">
        <v>241</v>
      </c>
      <c r="AL142" s="168" t="s">
        <v>242</v>
      </c>
      <c r="AM142" s="168" t="s">
        <v>243</v>
      </c>
      <c r="AN142" s="168" t="s">
        <v>244</v>
      </c>
      <c r="AO142" s="168" t="s">
        <v>245</v>
      </c>
      <c r="AP142" s="167" t="s">
        <v>241</v>
      </c>
      <c r="AQ142" s="168" t="s">
        <v>242</v>
      </c>
      <c r="AR142" s="168" t="s">
        <v>243</v>
      </c>
      <c r="AS142" s="168" t="s">
        <v>244</v>
      </c>
      <c r="AT142" s="169" t="s">
        <v>245</v>
      </c>
      <c r="AU142" s="170" t="s">
        <v>241</v>
      </c>
      <c r="AV142" s="168" t="s">
        <v>242</v>
      </c>
      <c r="AW142" s="168" t="s">
        <v>243</v>
      </c>
      <c r="AX142" s="168" t="s">
        <v>244</v>
      </c>
      <c r="AY142" s="169" t="s">
        <v>245</v>
      </c>
      <c r="AZ142" s="170" t="s">
        <v>241</v>
      </c>
      <c r="BA142" s="168" t="s">
        <v>242</v>
      </c>
      <c r="BB142" s="168" t="s">
        <v>243</v>
      </c>
      <c r="BC142" s="168" t="s">
        <v>244</v>
      </c>
      <c r="BD142" s="169" t="s">
        <v>245</v>
      </c>
      <c r="BE142" s="170" t="s">
        <v>241</v>
      </c>
      <c r="BF142" s="168" t="s">
        <v>242</v>
      </c>
      <c r="BG142" s="168" t="s">
        <v>243</v>
      </c>
      <c r="BH142" s="168" t="s">
        <v>244</v>
      </c>
      <c r="BI142" s="168" t="s">
        <v>245</v>
      </c>
      <c r="BJ142" s="167" t="s">
        <v>241</v>
      </c>
      <c r="BK142" s="168" t="s">
        <v>242</v>
      </c>
      <c r="BL142" s="168" t="s">
        <v>243</v>
      </c>
      <c r="BM142" s="168" t="s">
        <v>244</v>
      </c>
      <c r="BN142" s="169" t="s">
        <v>245</v>
      </c>
    </row>
    <row r="143" spans="1:66" ht="36" x14ac:dyDescent="0.25">
      <c r="A143" s="46">
        <v>47</v>
      </c>
      <c r="B143" s="48" t="s">
        <v>272</v>
      </c>
      <c r="C143" s="47" t="s">
        <v>273</v>
      </c>
      <c r="D143" s="48" t="s">
        <v>270</v>
      </c>
      <c r="E143" s="48" t="s">
        <v>270</v>
      </c>
      <c r="F143" s="48" t="s">
        <v>271</v>
      </c>
      <c r="G143" s="48" t="s">
        <v>64</v>
      </c>
      <c r="H143" s="48" t="s">
        <v>198</v>
      </c>
      <c r="I143" s="47" t="s">
        <v>185</v>
      </c>
      <c r="J143" s="47" t="s">
        <v>38</v>
      </c>
      <c r="K143" s="47" t="s">
        <v>39</v>
      </c>
      <c r="L143" s="48" t="s">
        <v>40</v>
      </c>
      <c r="M143" s="48"/>
      <c r="N143" s="48" t="s">
        <v>41</v>
      </c>
      <c r="O143" s="48" t="s">
        <v>42</v>
      </c>
      <c r="P143" s="48"/>
      <c r="Q143" s="47" t="s">
        <v>91</v>
      </c>
      <c r="R143" s="47"/>
      <c r="S143" s="47" t="s">
        <v>250</v>
      </c>
      <c r="T143" s="33" t="s">
        <v>45</v>
      </c>
      <c r="U143" s="34" t="s">
        <v>45</v>
      </c>
      <c r="V143" s="33"/>
      <c r="W143" s="33"/>
      <c r="X143" s="35"/>
      <c r="Y143" s="33"/>
      <c r="Z143" s="49"/>
      <c r="AA143" s="171">
        <v>2491080000</v>
      </c>
      <c r="AB143" s="172">
        <v>2259207000</v>
      </c>
      <c r="AC143" s="172">
        <v>2454311000</v>
      </c>
      <c r="AD143" s="172">
        <v>2067645000</v>
      </c>
      <c r="AE143" s="172">
        <v>2032631000</v>
      </c>
      <c r="AF143" s="171">
        <v>4457519246</v>
      </c>
      <c r="AG143" s="172">
        <v>4023595573</v>
      </c>
      <c r="AH143" s="172">
        <v>3420875611</v>
      </c>
      <c r="AI143" s="172">
        <v>2931317574</v>
      </c>
      <c r="AJ143" s="173">
        <v>2715755873</v>
      </c>
      <c r="AK143" s="172">
        <v>5546774000</v>
      </c>
      <c r="AL143" s="172">
        <v>5076445000</v>
      </c>
      <c r="AM143" s="172">
        <v>5514246000</v>
      </c>
      <c r="AN143" s="172">
        <v>5272137000</v>
      </c>
      <c r="AO143" s="172">
        <v>4189149000</v>
      </c>
      <c r="AP143" s="171">
        <v>1856376000</v>
      </c>
      <c r="AQ143" s="172">
        <v>1728944000</v>
      </c>
      <c r="AR143" s="172">
        <v>1670201000</v>
      </c>
      <c r="AS143" s="172">
        <v>1578952000</v>
      </c>
      <c r="AT143" s="173">
        <v>1614499000</v>
      </c>
      <c r="AU143" s="172">
        <v>2068338584</v>
      </c>
      <c r="AV143" s="172">
        <v>1918134214</v>
      </c>
      <c r="AW143" s="172">
        <v>1735737690</v>
      </c>
      <c r="AX143" s="172">
        <v>1648099498</v>
      </c>
      <c r="AY143" s="173">
        <v>1424234294</v>
      </c>
      <c r="AZ143" s="172">
        <v>557666343</v>
      </c>
      <c r="BA143" s="172">
        <v>525344419</v>
      </c>
      <c r="BB143" s="172">
        <v>471637971</v>
      </c>
      <c r="BC143" s="172">
        <v>416967783</v>
      </c>
      <c r="BD143" s="173">
        <v>388217097</v>
      </c>
      <c r="BE143" s="172">
        <v>339969835</v>
      </c>
      <c r="BF143" s="172">
        <v>302755675</v>
      </c>
      <c r="BG143" s="172">
        <v>269341269</v>
      </c>
      <c r="BH143" s="172">
        <v>228762109</v>
      </c>
      <c r="BI143" s="172">
        <v>217864240</v>
      </c>
      <c r="BJ143" s="171">
        <v>723435501</v>
      </c>
      <c r="BK143" s="172">
        <v>447213026</v>
      </c>
      <c r="BL143" s="172">
        <v>394982667</v>
      </c>
      <c r="BM143" s="172">
        <v>345437738</v>
      </c>
      <c r="BN143" s="173">
        <v>304807157</v>
      </c>
    </row>
    <row r="144" spans="1:66" ht="36" x14ac:dyDescent="0.25">
      <c r="A144" s="46">
        <v>48</v>
      </c>
      <c r="B144" s="48" t="s">
        <v>274</v>
      </c>
      <c r="C144" s="47" t="s">
        <v>273</v>
      </c>
      <c r="D144" s="48" t="s">
        <v>270</v>
      </c>
      <c r="E144" s="48" t="s">
        <v>270</v>
      </c>
      <c r="F144" s="48" t="s">
        <v>271</v>
      </c>
      <c r="G144" s="48" t="s">
        <v>64</v>
      </c>
      <c r="H144" s="48" t="s">
        <v>198</v>
      </c>
      <c r="I144" s="47" t="s">
        <v>185</v>
      </c>
      <c r="J144" s="47" t="s">
        <v>38</v>
      </c>
      <c r="K144" s="47" t="s">
        <v>39</v>
      </c>
      <c r="L144" s="48" t="s">
        <v>40</v>
      </c>
      <c r="M144" s="48"/>
      <c r="N144" s="48" t="s">
        <v>41</v>
      </c>
      <c r="O144" s="48" t="s">
        <v>42</v>
      </c>
      <c r="P144" s="48"/>
      <c r="Q144" s="47" t="s">
        <v>91</v>
      </c>
      <c r="R144" s="47"/>
      <c r="S144" s="47" t="s">
        <v>250</v>
      </c>
      <c r="T144" s="33" t="s">
        <v>45</v>
      </c>
      <c r="U144" s="34" t="s">
        <v>45</v>
      </c>
      <c r="V144" s="33"/>
      <c r="W144" s="33"/>
      <c r="X144" s="35"/>
      <c r="Y144" s="33"/>
      <c r="Z144" s="49"/>
      <c r="AA144" s="171">
        <v>4887885000</v>
      </c>
      <c r="AB144" s="172">
        <v>3646309000</v>
      </c>
      <c r="AC144" s="172">
        <v>2973798000</v>
      </c>
      <c r="AD144" s="172">
        <v>2735183000</v>
      </c>
      <c r="AE144" s="172">
        <v>1983038000</v>
      </c>
      <c r="AF144" s="171">
        <v>4457519246</v>
      </c>
      <c r="AG144" s="172">
        <v>4023595573</v>
      </c>
      <c r="AH144" s="172">
        <v>3420875611</v>
      </c>
      <c r="AI144" s="172">
        <v>2931317574</v>
      </c>
      <c r="AJ144" s="173">
        <v>2715755873</v>
      </c>
      <c r="AK144" s="172">
        <v>5546774000</v>
      </c>
      <c r="AL144" s="172">
        <v>5076445000</v>
      </c>
      <c r="AM144" s="172">
        <v>5514246000</v>
      </c>
      <c r="AN144" s="172">
        <v>5272137000</v>
      </c>
      <c r="AO144" s="172">
        <v>4189149000</v>
      </c>
      <c r="AP144" s="171">
        <v>1704306000</v>
      </c>
      <c r="AQ144" s="172">
        <v>1531972000</v>
      </c>
      <c r="AR144" s="172">
        <v>1360863000</v>
      </c>
      <c r="AS144" s="172">
        <v>1207289000</v>
      </c>
      <c r="AT144" s="173">
        <v>1114815000</v>
      </c>
      <c r="AU144" s="172">
        <v>1820276075</v>
      </c>
      <c r="AV144" s="172">
        <v>1368239186</v>
      </c>
      <c r="AW144" s="172">
        <v>1242701255</v>
      </c>
      <c r="AX144" s="172">
        <v>1109305048</v>
      </c>
      <c r="AY144" s="173">
        <v>1023197584</v>
      </c>
      <c r="AZ144" s="172">
        <v>504905239</v>
      </c>
      <c r="BA144" s="172">
        <v>364974993</v>
      </c>
      <c r="BB144" s="172">
        <v>307268439</v>
      </c>
      <c r="BC144" s="172">
        <v>284416965</v>
      </c>
      <c r="BD144" s="173">
        <v>239256869</v>
      </c>
      <c r="BE144" s="172">
        <v>317876795</v>
      </c>
      <c r="BF144" s="172">
        <v>271383807</v>
      </c>
      <c r="BG144" s="172">
        <v>243352437</v>
      </c>
      <c r="BH144" s="172">
        <v>214427174</v>
      </c>
      <c r="BI144" s="172">
        <v>195737092</v>
      </c>
      <c r="BJ144" s="171">
        <v>723435501</v>
      </c>
      <c r="BK144" s="172">
        <v>447213026</v>
      </c>
      <c r="BL144" s="172">
        <v>394982667</v>
      </c>
      <c r="BM144" s="172">
        <v>345437738</v>
      </c>
      <c r="BN144" s="173">
        <v>304807157</v>
      </c>
    </row>
    <row r="145" spans="1:66" ht="36" x14ac:dyDescent="0.25">
      <c r="A145" s="46">
        <v>49</v>
      </c>
      <c r="B145" s="48" t="s">
        <v>275</v>
      </c>
      <c r="C145" s="47" t="s">
        <v>276</v>
      </c>
      <c r="D145" s="48" t="s">
        <v>270</v>
      </c>
      <c r="E145" s="48" t="s">
        <v>270</v>
      </c>
      <c r="F145" s="48" t="s">
        <v>271</v>
      </c>
      <c r="G145" s="48" t="s">
        <v>64</v>
      </c>
      <c r="H145" s="48" t="s">
        <v>198</v>
      </c>
      <c r="I145" s="47" t="s">
        <v>185</v>
      </c>
      <c r="J145" s="47" t="s">
        <v>38</v>
      </c>
      <c r="K145" s="47" t="s">
        <v>39</v>
      </c>
      <c r="L145" s="48" t="s">
        <v>40</v>
      </c>
      <c r="M145" s="48"/>
      <c r="N145" s="48" t="s">
        <v>41</v>
      </c>
      <c r="O145" s="48" t="s">
        <v>42</v>
      </c>
      <c r="P145" s="48"/>
      <c r="Q145" s="47" t="s">
        <v>91</v>
      </c>
      <c r="R145" s="47"/>
      <c r="S145" s="47" t="s">
        <v>250</v>
      </c>
      <c r="T145" s="33" t="s">
        <v>45</v>
      </c>
      <c r="U145" s="34" t="s">
        <v>45</v>
      </c>
      <c r="V145" s="33"/>
      <c r="W145" s="33"/>
      <c r="X145" s="35"/>
      <c r="Y145" s="33"/>
      <c r="Z145" s="49"/>
      <c r="AA145" s="171">
        <v>20355557000</v>
      </c>
      <c r="AB145" s="172">
        <v>19312527000</v>
      </c>
      <c r="AC145" s="172">
        <v>18601300000</v>
      </c>
      <c r="AD145" s="172">
        <v>15209782000</v>
      </c>
      <c r="AE145" s="172">
        <v>12477685000</v>
      </c>
      <c r="AF145" s="171">
        <v>12348888083</v>
      </c>
      <c r="AG145" s="172">
        <v>11657541940</v>
      </c>
      <c r="AH145" s="172">
        <v>10679046818</v>
      </c>
      <c r="AI145" s="172">
        <v>8594487739</v>
      </c>
      <c r="AJ145" s="173">
        <v>7085192399</v>
      </c>
      <c r="AK145" s="172">
        <v>13903680000</v>
      </c>
      <c r="AL145" s="172">
        <v>13099805000</v>
      </c>
      <c r="AM145" s="172">
        <v>12112884000</v>
      </c>
      <c r="AN145" s="172">
        <v>10493553000</v>
      </c>
      <c r="AO145" s="172">
        <v>8866059000</v>
      </c>
      <c r="AP145" s="171">
        <v>13112696000</v>
      </c>
      <c r="AQ145" s="172">
        <v>12499079000</v>
      </c>
      <c r="AR145" s="172">
        <v>11394609000</v>
      </c>
      <c r="AS145" s="172">
        <v>9891173000</v>
      </c>
      <c r="AT145" s="173">
        <v>7841496000</v>
      </c>
      <c r="AU145" s="172">
        <v>14861038367</v>
      </c>
      <c r="AV145" s="172">
        <v>14861038367</v>
      </c>
      <c r="AW145" s="172">
        <v>12598243381</v>
      </c>
      <c r="AX145" s="172">
        <v>10090685315</v>
      </c>
      <c r="AY145" s="173">
        <v>8070035692</v>
      </c>
      <c r="AZ145" s="172">
        <v>3811653520</v>
      </c>
      <c r="BA145" s="172">
        <v>3633444852</v>
      </c>
      <c r="BB145" s="172">
        <v>3490744057</v>
      </c>
      <c r="BC145" s="172">
        <v>3121529761</v>
      </c>
      <c r="BD145" s="173">
        <v>2549064398</v>
      </c>
      <c r="BE145" s="172">
        <v>2197435143</v>
      </c>
      <c r="BF145" s="172">
        <v>1964268076</v>
      </c>
      <c r="BG145" s="172">
        <v>1754709786</v>
      </c>
      <c r="BH145" s="172">
        <v>1463099072</v>
      </c>
      <c r="BI145" s="172">
        <v>1303156082</v>
      </c>
      <c r="BJ145" s="171">
        <v>935491481</v>
      </c>
      <c r="BK145" s="172">
        <v>718169818</v>
      </c>
      <c r="BL145" s="172">
        <f>621237648+1211974409+295849877</f>
        <v>2129061934</v>
      </c>
      <c r="BM145" s="172">
        <f>557558699+909782472+222285673</f>
        <v>1689626844</v>
      </c>
      <c r="BN145" s="173">
        <v>1382717567</v>
      </c>
    </row>
    <row r="146" spans="1:66" ht="36" x14ac:dyDescent="0.25">
      <c r="A146" s="46">
        <v>50</v>
      </c>
      <c r="B146" s="61" t="s">
        <v>277</v>
      </c>
      <c r="C146" s="60" t="s">
        <v>278</v>
      </c>
      <c r="D146" s="61" t="s">
        <v>270</v>
      </c>
      <c r="E146" s="61" t="s">
        <v>270</v>
      </c>
      <c r="F146" s="61" t="s">
        <v>271</v>
      </c>
      <c r="G146" s="61" t="s">
        <v>64</v>
      </c>
      <c r="H146" s="61" t="s">
        <v>198</v>
      </c>
      <c r="I146" s="60" t="s">
        <v>185</v>
      </c>
      <c r="J146" s="60" t="s">
        <v>38</v>
      </c>
      <c r="K146" s="60" t="s">
        <v>39</v>
      </c>
      <c r="L146" s="61" t="s">
        <v>40</v>
      </c>
      <c r="M146" s="61"/>
      <c r="N146" s="61" t="s">
        <v>41</v>
      </c>
      <c r="O146" s="61" t="s">
        <v>42</v>
      </c>
      <c r="P146" s="61"/>
      <c r="Q146" s="60" t="s">
        <v>91</v>
      </c>
      <c r="R146" s="60"/>
      <c r="S146" s="60" t="s">
        <v>66</v>
      </c>
      <c r="T146" s="33"/>
      <c r="U146" s="34" t="s">
        <v>45</v>
      </c>
      <c r="V146" s="33"/>
      <c r="W146" s="33"/>
      <c r="X146" s="35"/>
      <c r="Y146" s="33"/>
      <c r="Z146" s="49"/>
      <c r="AA146" s="174">
        <v>7765829000</v>
      </c>
      <c r="AB146" s="175">
        <v>6808732000</v>
      </c>
      <c r="AC146" s="175">
        <v>7540386000</v>
      </c>
      <c r="AD146" s="175">
        <v>7134966000</v>
      </c>
      <c r="AE146" s="175">
        <v>6952278000</v>
      </c>
      <c r="AF146" s="174">
        <v>4976054018</v>
      </c>
      <c r="AG146" s="175">
        <v>4744008495</v>
      </c>
      <c r="AH146" s="175">
        <v>3561339848</v>
      </c>
      <c r="AI146" s="175">
        <v>2504449849</v>
      </c>
      <c r="AJ146" s="176">
        <v>2509453939</v>
      </c>
      <c r="AK146" s="177">
        <v>4442190000</v>
      </c>
      <c r="AL146" s="177">
        <v>5394440000</v>
      </c>
      <c r="AM146" s="177">
        <v>3757835000</v>
      </c>
      <c r="AN146" s="177">
        <v>2636469000</v>
      </c>
      <c r="AO146" s="177">
        <v>3120058000</v>
      </c>
      <c r="AP146" s="174">
        <v>4232396000</v>
      </c>
      <c r="AQ146" s="178">
        <v>3657750000</v>
      </c>
      <c r="AR146" s="178">
        <v>3409741000</v>
      </c>
      <c r="AS146" s="178">
        <v>2613046000</v>
      </c>
      <c r="AT146" s="179">
        <v>3733289000</v>
      </c>
      <c r="AU146" s="177">
        <v>5339960744</v>
      </c>
      <c r="AV146" s="177">
        <v>4746558483</v>
      </c>
      <c r="AW146" s="177">
        <v>4568533803</v>
      </c>
      <c r="AX146" s="177">
        <v>3407484103</v>
      </c>
      <c r="AY146" s="180">
        <v>2885992560</v>
      </c>
      <c r="AZ146" s="175">
        <f>1295003291+1026453533</f>
        <v>2321456824</v>
      </c>
      <c r="BA146" s="175">
        <f>1269881789+895330135</f>
        <v>2165211924</v>
      </c>
      <c r="BB146" s="175">
        <v>2134441650</v>
      </c>
      <c r="BC146" s="175">
        <v>1409487378</v>
      </c>
      <c r="BD146" s="176">
        <v>2395942529</v>
      </c>
      <c r="BE146" s="177">
        <v>1542941916</v>
      </c>
      <c r="BF146" s="177">
        <v>1235137628</v>
      </c>
      <c r="BG146" s="177">
        <v>905903245</v>
      </c>
      <c r="BH146" s="177">
        <v>901582926</v>
      </c>
      <c r="BI146" s="177">
        <v>802651054</v>
      </c>
      <c r="BJ146" s="181">
        <v>1722782784</v>
      </c>
      <c r="BK146" s="177">
        <v>1296186619</v>
      </c>
      <c r="BL146" s="177">
        <v>1211493796</v>
      </c>
      <c r="BM146" s="177">
        <v>888845901</v>
      </c>
      <c r="BN146" s="180">
        <v>858670800</v>
      </c>
    </row>
    <row r="147" spans="1:66" ht="36" x14ac:dyDescent="0.25">
      <c r="A147" s="46">
        <v>51</v>
      </c>
      <c r="B147" s="61" t="s">
        <v>279</v>
      </c>
      <c r="C147" s="60" t="s">
        <v>280</v>
      </c>
      <c r="D147" s="61" t="s">
        <v>270</v>
      </c>
      <c r="E147" s="61" t="s">
        <v>270</v>
      </c>
      <c r="F147" s="61" t="s">
        <v>271</v>
      </c>
      <c r="G147" s="61" t="s">
        <v>64</v>
      </c>
      <c r="H147" s="61" t="s">
        <v>198</v>
      </c>
      <c r="I147" s="60" t="s">
        <v>185</v>
      </c>
      <c r="J147" s="60" t="s">
        <v>38</v>
      </c>
      <c r="K147" s="60" t="s">
        <v>39</v>
      </c>
      <c r="L147" s="61" t="s">
        <v>40</v>
      </c>
      <c r="M147" s="61"/>
      <c r="N147" s="61" t="s">
        <v>41</v>
      </c>
      <c r="O147" s="61" t="s">
        <v>42</v>
      </c>
      <c r="P147" s="61"/>
      <c r="Q147" s="60" t="s">
        <v>91</v>
      </c>
      <c r="R147" s="60"/>
      <c r="S147" s="60" t="s">
        <v>66</v>
      </c>
      <c r="T147" s="33"/>
      <c r="U147" s="34" t="s">
        <v>45</v>
      </c>
      <c r="V147" s="33"/>
      <c r="W147" s="33"/>
      <c r="X147" s="35"/>
      <c r="Y147" s="33"/>
      <c r="Z147" s="49"/>
      <c r="AA147" s="174">
        <v>0</v>
      </c>
      <c r="AB147" s="175">
        <v>0</v>
      </c>
      <c r="AC147" s="175">
        <v>0</v>
      </c>
      <c r="AD147" s="175">
        <v>0</v>
      </c>
      <c r="AE147" s="175">
        <v>0</v>
      </c>
      <c r="AF147" s="174">
        <v>0</v>
      </c>
      <c r="AG147" s="175">
        <v>0</v>
      </c>
      <c r="AH147" s="175"/>
      <c r="AI147" s="175"/>
      <c r="AJ147" s="176"/>
      <c r="AK147" s="182"/>
      <c r="AL147" s="182"/>
      <c r="AM147" s="182"/>
      <c r="AN147" s="182"/>
      <c r="AO147" s="182"/>
      <c r="AP147" s="174"/>
      <c r="AQ147" s="178"/>
      <c r="AR147" s="178"/>
      <c r="AS147" s="178"/>
      <c r="AT147" s="179"/>
      <c r="AU147" s="182"/>
      <c r="AV147" s="182"/>
      <c r="AW147" s="182"/>
      <c r="AX147" s="182"/>
      <c r="AY147" s="183"/>
      <c r="AZ147" s="175"/>
      <c r="BA147" s="175"/>
      <c r="BB147" s="175"/>
      <c r="BC147" s="175"/>
      <c r="BD147" s="176"/>
      <c r="BE147" s="182"/>
      <c r="BF147" s="182"/>
      <c r="BG147" s="182"/>
      <c r="BH147" s="182"/>
      <c r="BI147" s="182"/>
      <c r="BJ147" s="184"/>
      <c r="BK147" s="182"/>
      <c r="BL147" s="182"/>
      <c r="BM147" s="182"/>
      <c r="BN147" s="183"/>
    </row>
    <row r="148" spans="1:66" ht="36" x14ac:dyDescent="0.25">
      <c r="A148" s="46">
        <v>52</v>
      </c>
      <c r="B148" s="48" t="s">
        <v>281</v>
      </c>
      <c r="C148" s="47" t="s">
        <v>282</v>
      </c>
      <c r="D148" s="48" t="s">
        <v>270</v>
      </c>
      <c r="E148" s="48" t="s">
        <v>270</v>
      </c>
      <c r="F148" s="48" t="s">
        <v>271</v>
      </c>
      <c r="G148" s="48" t="s">
        <v>64</v>
      </c>
      <c r="H148" s="48" t="s">
        <v>198</v>
      </c>
      <c r="I148" s="47" t="s">
        <v>185</v>
      </c>
      <c r="J148" s="47" t="s">
        <v>38</v>
      </c>
      <c r="K148" s="47" t="s">
        <v>39</v>
      </c>
      <c r="L148" s="48" t="s">
        <v>40</v>
      </c>
      <c r="M148" s="48"/>
      <c r="N148" s="48" t="s">
        <v>41</v>
      </c>
      <c r="O148" s="48" t="s">
        <v>42</v>
      </c>
      <c r="P148" s="48"/>
      <c r="Q148" s="47" t="s">
        <v>91</v>
      </c>
      <c r="R148" s="47"/>
      <c r="S148" s="47" t="s">
        <v>250</v>
      </c>
      <c r="T148" s="33" t="s">
        <v>45</v>
      </c>
      <c r="U148" s="34" t="s">
        <v>45</v>
      </c>
      <c r="V148" s="33"/>
      <c r="W148" s="33"/>
      <c r="X148" s="35"/>
      <c r="Y148" s="33"/>
      <c r="Z148" s="49"/>
      <c r="AA148" s="171">
        <v>309839000</v>
      </c>
      <c r="AB148" s="172">
        <v>153955000</v>
      </c>
      <c r="AC148" s="172">
        <v>132957000</v>
      </c>
      <c r="AD148" s="172">
        <v>111793000</v>
      </c>
      <c r="AE148" s="172">
        <v>181620000</v>
      </c>
      <c r="AF148" s="171">
        <v>22006956</v>
      </c>
      <c r="AG148" s="172">
        <v>17290290</v>
      </c>
      <c r="AH148" s="172">
        <v>21495798</v>
      </c>
      <c r="AI148" s="172">
        <v>27625621</v>
      </c>
      <c r="AJ148" s="173">
        <v>12544162</v>
      </c>
      <c r="AK148" s="172">
        <v>115021000</v>
      </c>
      <c r="AL148" s="172">
        <v>103144000</v>
      </c>
      <c r="AM148" s="172">
        <v>103502000</v>
      </c>
      <c r="AN148" s="172">
        <v>93393000</v>
      </c>
      <c r="AO148" s="172">
        <v>94225000</v>
      </c>
      <c r="AP148" s="171">
        <v>169313000</v>
      </c>
      <c r="AQ148" s="172">
        <v>174304000</v>
      </c>
      <c r="AR148" s="172">
        <v>126094000</v>
      </c>
      <c r="AS148" s="172">
        <v>132121000</v>
      </c>
      <c r="AT148" s="173">
        <v>139488000</v>
      </c>
      <c r="AU148" s="172">
        <v>1065771011</v>
      </c>
      <c r="AV148" s="172">
        <v>960645418</v>
      </c>
      <c r="AW148" s="172">
        <v>362004390</v>
      </c>
      <c r="AX148" s="172">
        <v>112172952</v>
      </c>
      <c r="AY148" s="173">
        <v>57093069</v>
      </c>
      <c r="AZ148" s="172">
        <v>43157338</v>
      </c>
      <c r="BA148" s="172">
        <v>37469531</v>
      </c>
      <c r="BB148" s="172">
        <v>285916001</v>
      </c>
      <c r="BC148" s="172">
        <v>218228025</v>
      </c>
      <c r="BD148" s="173">
        <v>283058979</v>
      </c>
      <c r="BE148" s="172">
        <v>152102495</v>
      </c>
      <c r="BF148" s="172">
        <v>116332346</v>
      </c>
      <c r="BG148" s="172">
        <v>13740886</v>
      </c>
      <c r="BH148" s="172">
        <v>19909665</v>
      </c>
      <c r="BI148" s="172">
        <v>19578416</v>
      </c>
      <c r="BJ148" s="171">
        <v>93473702</v>
      </c>
      <c r="BK148" s="172">
        <v>39936066</v>
      </c>
      <c r="BL148" s="172">
        <v>80514164</v>
      </c>
      <c r="BM148" s="172">
        <v>8184688</v>
      </c>
      <c r="BN148" s="173">
        <v>7557577</v>
      </c>
    </row>
    <row r="149" spans="1:66" s="1" customFormat="1" ht="36" x14ac:dyDescent="0.25">
      <c r="A149" s="63">
        <v>53</v>
      </c>
      <c r="B149" s="141" t="s">
        <v>283</v>
      </c>
      <c r="C149" s="47" t="s">
        <v>284</v>
      </c>
      <c r="D149" s="48" t="s">
        <v>270</v>
      </c>
      <c r="E149" s="48" t="s">
        <v>270</v>
      </c>
      <c r="F149" s="48" t="s">
        <v>285</v>
      </c>
      <c r="G149" s="48" t="s">
        <v>64</v>
      </c>
      <c r="H149" s="48" t="s">
        <v>49</v>
      </c>
      <c r="I149" s="47" t="s">
        <v>235</v>
      </c>
      <c r="J149" s="47" t="s">
        <v>236</v>
      </c>
      <c r="K149" s="47" t="s">
        <v>43</v>
      </c>
      <c r="L149" s="48" t="s">
        <v>43</v>
      </c>
      <c r="M149" s="48"/>
      <c r="N149" s="48" t="s">
        <v>237</v>
      </c>
      <c r="O149" s="48" t="s">
        <v>42</v>
      </c>
      <c r="P149" s="48"/>
      <c r="Q149" s="47" t="s">
        <v>286</v>
      </c>
      <c r="R149" s="47"/>
      <c r="S149" s="47" t="s">
        <v>66</v>
      </c>
      <c r="T149" s="33" t="s">
        <v>45</v>
      </c>
      <c r="U149" s="34"/>
      <c r="V149" s="33" t="s">
        <v>45</v>
      </c>
      <c r="W149" s="33"/>
      <c r="X149" s="35"/>
      <c r="Y149" s="33"/>
      <c r="Z149" s="49"/>
      <c r="AA149" s="185"/>
      <c r="AB149" s="137"/>
      <c r="AC149" s="137"/>
      <c r="AD149" s="137"/>
      <c r="AE149" s="137"/>
      <c r="AF149" s="185"/>
      <c r="AG149" s="137"/>
      <c r="AH149" s="137"/>
      <c r="AI149" s="137"/>
      <c r="AJ149" s="186"/>
      <c r="AK149" s="6"/>
      <c r="AL149" s="6"/>
      <c r="AM149" s="6"/>
      <c r="AN149" s="6"/>
      <c r="AO149" s="6"/>
      <c r="AP149" s="185"/>
      <c r="AQ149" s="137"/>
      <c r="AR149" s="137"/>
      <c r="AS149" s="137"/>
      <c r="AT149" s="186"/>
      <c r="AU149" s="6"/>
      <c r="AV149" s="6"/>
      <c r="AW149" s="6"/>
      <c r="AX149" s="6"/>
      <c r="AY149" s="65"/>
      <c r="AZ149" s="137"/>
      <c r="BA149" s="137"/>
      <c r="BB149" s="137"/>
      <c r="BC149" s="137"/>
      <c r="BD149" s="186"/>
      <c r="BE149" s="6"/>
      <c r="BF149" s="6"/>
      <c r="BG149" s="6"/>
      <c r="BH149" s="6"/>
      <c r="BI149" s="6"/>
      <c r="BJ149" s="142"/>
      <c r="BK149" s="6"/>
      <c r="BL149" s="6"/>
      <c r="BM149" s="6"/>
      <c r="BN149" s="65"/>
    </row>
    <row r="150" spans="1:66" s="1" customFormat="1" ht="36" x14ac:dyDescent="0.25">
      <c r="A150" s="63">
        <v>54</v>
      </c>
      <c r="B150" s="141" t="s">
        <v>287</v>
      </c>
      <c r="C150" s="47" t="s">
        <v>288</v>
      </c>
      <c r="D150" s="48" t="s">
        <v>270</v>
      </c>
      <c r="E150" s="48" t="s">
        <v>270</v>
      </c>
      <c r="F150" s="48" t="s">
        <v>285</v>
      </c>
      <c r="G150" s="48" t="s">
        <v>64</v>
      </c>
      <c r="H150" s="48" t="s">
        <v>49</v>
      </c>
      <c r="I150" s="47" t="s">
        <v>235</v>
      </c>
      <c r="J150" s="47" t="s">
        <v>236</v>
      </c>
      <c r="K150" s="47" t="s">
        <v>43</v>
      </c>
      <c r="L150" s="48" t="s">
        <v>43</v>
      </c>
      <c r="M150" s="48"/>
      <c r="N150" s="48" t="s">
        <v>237</v>
      </c>
      <c r="O150" s="48" t="s">
        <v>42</v>
      </c>
      <c r="P150" s="48"/>
      <c r="Q150" s="47" t="s">
        <v>286</v>
      </c>
      <c r="R150" s="47"/>
      <c r="S150" s="47" t="s">
        <v>66</v>
      </c>
      <c r="T150" s="33" t="s">
        <v>45</v>
      </c>
      <c r="U150" s="34"/>
      <c r="V150" s="33" t="s">
        <v>45</v>
      </c>
      <c r="W150" s="33"/>
      <c r="X150" s="35"/>
      <c r="Y150" s="33"/>
      <c r="Z150" s="49"/>
      <c r="AA150" s="185"/>
      <c r="AB150" s="137"/>
      <c r="AC150" s="137"/>
      <c r="AD150" s="137"/>
      <c r="AE150" s="137"/>
      <c r="AF150" s="185"/>
      <c r="AG150" s="137"/>
      <c r="AH150" s="137"/>
      <c r="AI150" s="137"/>
      <c r="AJ150" s="186"/>
      <c r="AK150" s="6"/>
      <c r="AL150" s="6"/>
      <c r="AM150" s="6"/>
      <c r="AN150" s="6"/>
      <c r="AO150" s="6"/>
      <c r="AP150" s="185"/>
      <c r="AQ150" s="137"/>
      <c r="AR150" s="137"/>
      <c r="AS150" s="137"/>
      <c r="AT150" s="186"/>
      <c r="AU150" s="6"/>
      <c r="AV150" s="6"/>
      <c r="AW150" s="6"/>
      <c r="AX150" s="6"/>
      <c r="AY150" s="65"/>
      <c r="AZ150" s="137"/>
      <c r="BA150" s="137"/>
      <c r="BB150" s="137"/>
      <c r="BC150" s="137"/>
      <c r="BD150" s="186"/>
      <c r="BE150" s="6"/>
      <c r="BF150" s="6"/>
      <c r="BG150" s="6"/>
      <c r="BH150" s="6"/>
      <c r="BI150" s="6"/>
      <c r="BJ150" s="142"/>
      <c r="BK150" s="6"/>
      <c r="BL150" s="6"/>
      <c r="BM150" s="6"/>
      <c r="BN150" s="65"/>
    </row>
    <row r="151" spans="1:66" ht="36" x14ac:dyDescent="0.25">
      <c r="A151" s="46">
        <v>55</v>
      </c>
      <c r="B151" s="137" t="s">
        <v>289</v>
      </c>
      <c r="C151" s="60" t="s">
        <v>290</v>
      </c>
      <c r="D151" s="61" t="s">
        <v>270</v>
      </c>
      <c r="E151" s="61" t="s">
        <v>270</v>
      </c>
      <c r="F151" s="61" t="s">
        <v>291</v>
      </c>
      <c r="G151" s="61" t="s">
        <v>64</v>
      </c>
      <c r="H151" s="61" t="s">
        <v>49</v>
      </c>
      <c r="I151" s="60" t="s">
        <v>235</v>
      </c>
      <c r="J151" s="60" t="s">
        <v>236</v>
      </c>
      <c r="K151" s="60" t="s">
        <v>43</v>
      </c>
      <c r="L151" s="61" t="s">
        <v>43</v>
      </c>
      <c r="M151" s="61"/>
      <c r="N151" s="61" t="s">
        <v>237</v>
      </c>
      <c r="O151" s="61" t="s">
        <v>42</v>
      </c>
      <c r="P151" s="61"/>
      <c r="Q151" s="60" t="s">
        <v>286</v>
      </c>
      <c r="R151" s="60"/>
      <c r="S151" s="60"/>
      <c r="T151" s="33"/>
      <c r="U151" s="34" t="s">
        <v>45</v>
      </c>
      <c r="V151" s="33"/>
      <c r="W151" s="33"/>
      <c r="X151" s="35"/>
      <c r="Y151" s="33"/>
      <c r="Z151" s="49"/>
      <c r="AA151" s="187">
        <v>4716975000</v>
      </c>
      <c r="AB151" s="178">
        <v>3331937000</v>
      </c>
      <c r="AC151" s="178">
        <v>4958180000</v>
      </c>
      <c r="AD151" s="178">
        <v>2740623000</v>
      </c>
      <c r="AE151" s="178">
        <v>2482347000</v>
      </c>
      <c r="AF151" s="187">
        <v>1264408059</v>
      </c>
      <c r="AG151" s="178">
        <v>2026048033</v>
      </c>
      <c r="AH151" s="178">
        <v>2025848090</v>
      </c>
      <c r="AI151" s="178">
        <v>804522236</v>
      </c>
      <c r="AJ151" s="179">
        <v>490888080</v>
      </c>
      <c r="AK151" s="177">
        <v>1684476000</v>
      </c>
      <c r="AL151" s="177">
        <v>3443726000</v>
      </c>
      <c r="AM151" s="177">
        <v>2521841000</v>
      </c>
      <c r="AN151" s="177">
        <v>1832538000</v>
      </c>
      <c r="AO151" s="177">
        <v>2167802000</v>
      </c>
      <c r="AP151" s="187">
        <v>2410960000</v>
      </c>
      <c r="AQ151" s="178">
        <v>2531759000</v>
      </c>
      <c r="AR151" s="178">
        <v>1786090000</v>
      </c>
      <c r="AS151" s="178">
        <v>1963202000</v>
      </c>
      <c r="AT151" s="179">
        <v>1776796</v>
      </c>
      <c r="AU151" s="177">
        <v>1877122683</v>
      </c>
      <c r="AV151" s="177">
        <v>982817946</v>
      </c>
      <c r="AW151" s="177">
        <v>727065353</v>
      </c>
      <c r="AX151" s="177">
        <v>-1015493433</v>
      </c>
      <c r="AY151" s="180">
        <v>-1411139515</v>
      </c>
      <c r="AZ151" s="178">
        <v>1118478097</v>
      </c>
      <c r="BA151" s="178">
        <v>867737854</v>
      </c>
      <c r="BB151" s="178">
        <v>563402757</v>
      </c>
      <c r="BC151" s="178">
        <v>-11632865</v>
      </c>
      <c r="BD151" s="179">
        <v>507740626</v>
      </c>
      <c r="BE151" s="177">
        <v>762967722</v>
      </c>
      <c r="BF151" s="177">
        <v>485906703</v>
      </c>
      <c r="BG151" s="177">
        <v>123730338</v>
      </c>
      <c r="BH151" s="177">
        <v>-227540122</v>
      </c>
      <c r="BI151" s="177">
        <v>34772251</v>
      </c>
      <c r="BJ151" s="181">
        <v>780679235</v>
      </c>
      <c r="BK151" s="177">
        <v>342275023</v>
      </c>
      <c r="BL151" s="177">
        <v>350923790</v>
      </c>
      <c r="BM151" s="177">
        <v>238337248</v>
      </c>
      <c r="BN151" s="180">
        <v>302397991</v>
      </c>
    </row>
    <row r="152" spans="1:66" s="1" customFormat="1" ht="36" x14ac:dyDescent="0.25">
      <c r="A152" s="63">
        <v>56</v>
      </c>
      <c r="B152" s="141" t="s">
        <v>292</v>
      </c>
      <c r="C152" s="47" t="s">
        <v>293</v>
      </c>
      <c r="D152" s="48" t="s">
        <v>270</v>
      </c>
      <c r="E152" s="48" t="s">
        <v>270</v>
      </c>
      <c r="F152" s="48" t="s">
        <v>294</v>
      </c>
      <c r="G152" s="48" t="s">
        <v>64</v>
      </c>
      <c r="H152" s="48" t="s">
        <v>49</v>
      </c>
      <c r="I152" s="47" t="s">
        <v>185</v>
      </c>
      <c r="J152" s="47" t="s">
        <v>38</v>
      </c>
      <c r="K152" s="47" t="s">
        <v>39</v>
      </c>
      <c r="L152" s="48" t="s">
        <v>40</v>
      </c>
      <c r="M152" s="48"/>
      <c r="N152" s="48" t="s">
        <v>41</v>
      </c>
      <c r="O152" s="48" t="s">
        <v>42</v>
      </c>
      <c r="P152" s="48"/>
      <c r="Q152" s="47" t="s">
        <v>91</v>
      </c>
      <c r="R152" s="47"/>
      <c r="S152" s="47" t="s">
        <v>66</v>
      </c>
      <c r="T152" s="33" t="s">
        <v>45</v>
      </c>
      <c r="U152" s="34"/>
      <c r="V152" s="33" t="s">
        <v>45</v>
      </c>
      <c r="W152" s="33"/>
      <c r="X152" s="35"/>
      <c r="Y152" s="33"/>
      <c r="Z152" s="49"/>
      <c r="AA152" s="185"/>
      <c r="AB152" s="137"/>
      <c r="AC152" s="137"/>
      <c r="AD152" s="137"/>
      <c r="AE152" s="137"/>
      <c r="AF152" s="185"/>
      <c r="AG152" s="137"/>
      <c r="AH152" s="137"/>
      <c r="AI152" s="137"/>
      <c r="AJ152" s="186"/>
      <c r="AK152" s="6"/>
      <c r="AL152" s="6"/>
      <c r="AM152" s="6"/>
      <c r="AN152" s="6"/>
      <c r="AO152" s="6"/>
      <c r="AP152" s="185"/>
      <c r="AQ152" s="137"/>
      <c r="AR152" s="137"/>
      <c r="AS152" s="137"/>
      <c r="AT152" s="186"/>
      <c r="AU152" s="6"/>
      <c r="AV152" s="6"/>
      <c r="AW152" s="6"/>
      <c r="AX152" s="6"/>
      <c r="AY152" s="65"/>
      <c r="AZ152" s="137"/>
      <c r="BA152" s="137"/>
      <c r="BB152" s="137"/>
      <c r="BC152" s="137"/>
      <c r="BD152" s="186"/>
      <c r="BE152" s="6"/>
      <c r="BF152" s="6"/>
      <c r="BG152" s="6"/>
      <c r="BH152" s="6"/>
      <c r="BI152" s="6"/>
      <c r="BJ152" s="142"/>
      <c r="BK152" s="6"/>
      <c r="BL152" s="6"/>
      <c r="BM152" s="6"/>
      <c r="BN152" s="65"/>
    </row>
    <row r="153" spans="1:66" ht="24" x14ac:dyDescent="0.25">
      <c r="A153" s="46">
        <v>57</v>
      </c>
      <c r="B153" s="141" t="s">
        <v>295</v>
      </c>
      <c r="C153" s="47" t="s">
        <v>296</v>
      </c>
      <c r="D153" s="48" t="s">
        <v>270</v>
      </c>
      <c r="E153" s="48" t="s">
        <v>270</v>
      </c>
      <c r="F153" s="48" t="s">
        <v>294</v>
      </c>
      <c r="G153" s="48" t="s">
        <v>64</v>
      </c>
      <c r="H153" s="48" t="s">
        <v>49</v>
      </c>
      <c r="I153" s="47" t="s">
        <v>235</v>
      </c>
      <c r="J153" s="47" t="s">
        <v>236</v>
      </c>
      <c r="K153" s="47" t="s">
        <v>43</v>
      </c>
      <c r="L153" s="48" t="s">
        <v>43</v>
      </c>
      <c r="M153" s="48"/>
      <c r="N153" s="48" t="s">
        <v>237</v>
      </c>
      <c r="O153" s="48" t="s">
        <v>42</v>
      </c>
      <c r="P153" s="48"/>
      <c r="Q153" s="47" t="s">
        <v>238</v>
      </c>
      <c r="R153" s="47"/>
      <c r="S153" s="47" t="s">
        <v>250</v>
      </c>
      <c r="T153" s="33" t="s">
        <v>45</v>
      </c>
      <c r="U153" s="34" t="s">
        <v>45</v>
      </c>
      <c r="V153" s="33"/>
      <c r="W153" s="33"/>
      <c r="X153" s="35"/>
      <c r="Y153" s="33"/>
      <c r="Z153" s="49"/>
      <c r="AA153" s="171">
        <f>1074800000+4961569000</f>
        <v>6036369000</v>
      </c>
      <c r="AB153" s="172">
        <f>735678000+3959691000</f>
        <v>4695369000</v>
      </c>
      <c r="AC153" s="172">
        <f>998041000+6018505000</f>
        <v>7016546000</v>
      </c>
      <c r="AD153" s="172">
        <f>1201024000+4267159000</f>
        <v>5468183000</v>
      </c>
      <c r="AE153" s="172">
        <f>1320865000+2911471000</f>
        <v>4232336000</v>
      </c>
      <c r="AF153" s="171">
        <f>666726104+2550903120</f>
        <v>3217629224</v>
      </c>
      <c r="AG153" s="172">
        <f>524945033+3130419087</f>
        <v>3655364120</v>
      </c>
      <c r="AH153" s="172">
        <f>767444290+2767820966</f>
        <v>3535265256</v>
      </c>
      <c r="AI153" s="172">
        <f>511271956+2609511607</f>
        <v>3120783563</v>
      </c>
      <c r="AJ153" s="173">
        <f>536224978+2353454821</f>
        <v>2889679799</v>
      </c>
      <c r="AK153" s="172">
        <f>4309649000+417304000</f>
        <v>4726953000</v>
      </c>
      <c r="AL153" s="172">
        <f>4172233000+290496000</f>
        <v>4462729000</v>
      </c>
      <c r="AM153" s="172">
        <f>3977942000+313387000</f>
        <v>4291329000</v>
      </c>
      <c r="AN153" s="172">
        <f>3706347000+204083000</f>
        <v>3910430000</v>
      </c>
      <c r="AO153" s="172">
        <f>3360962000+329545000</f>
        <v>3690507000</v>
      </c>
      <c r="AP153" s="171">
        <f>2525327000+2944533000</f>
        <v>5469860000</v>
      </c>
      <c r="AQ153" s="172">
        <f>2340346000+2905031000</f>
        <v>5245377000</v>
      </c>
      <c r="AR153" s="172">
        <f>2754804000+2847456000</f>
        <v>5602260000</v>
      </c>
      <c r="AS153" s="172">
        <f>2594830000+2669216000</f>
        <v>5264046000</v>
      </c>
      <c r="AT153" s="173">
        <f>2219666000+2870697000</f>
        <v>5090363000</v>
      </c>
      <c r="AU153" s="172">
        <f>558417753+5909437+4460073394</f>
        <v>5024400584</v>
      </c>
      <c r="AV153" s="172">
        <f>485996856+17666135+3552483440</f>
        <v>4056146431</v>
      </c>
      <c r="AW153" s="172">
        <f>149652919+29540450+2683966083</f>
        <v>2863159452</v>
      </c>
      <c r="AX153" s="172">
        <f>281696673+130187427+2447472950</f>
        <v>2859357050</v>
      </c>
      <c r="AY153" s="173">
        <f>106595182+163381813+1217263683</f>
        <v>1487240678</v>
      </c>
      <c r="AZ153" s="172">
        <f>846657686+203595569+331009120</f>
        <v>1381262375</v>
      </c>
      <c r="BA153" s="172">
        <f>586933364+24433716+351875817</f>
        <v>963242897</v>
      </c>
      <c r="BB153" s="172">
        <f>484364698+289071833</f>
        <v>773436531</v>
      </c>
      <c r="BC153" s="172">
        <f>468414403+11658233+307500749</f>
        <v>787573385</v>
      </c>
      <c r="BD153" s="173">
        <f>509581901+89905892+517916541</f>
        <v>1117404334</v>
      </c>
      <c r="BE153" s="172">
        <f>375936967+190209752</f>
        <v>566146719</v>
      </c>
      <c r="BF153" s="172">
        <f>383984497+212232174</f>
        <v>596216671</v>
      </c>
      <c r="BG153" s="172">
        <f>312473204+153606850</f>
        <v>466080054</v>
      </c>
      <c r="BH153" s="172">
        <f>211059310+91348064</f>
        <v>302407374</v>
      </c>
      <c r="BI153" s="172">
        <f>283121342+123972143</f>
        <v>407093485</v>
      </c>
      <c r="BJ153" s="171">
        <f>23709686+383872634+350436327</f>
        <v>758018647</v>
      </c>
      <c r="BK153" s="172">
        <f>61838702+301335223+114032235</f>
        <v>477206160</v>
      </c>
      <c r="BL153" s="172">
        <f>208452850+106447321+448775076</f>
        <v>763675247</v>
      </c>
      <c r="BM153" s="172">
        <f>61835476+61713023+280838674</f>
        <v>404387173</v>
      </c>
      <c r="BN153" s="173">
        <f>78258916+395802+315544995</f>
        <v>394199713</v>
      </c>
    </row>
    <row r="154" spans="1:66" ht="36" x14ac:dyDescent="0.25">
      <c r="A154" s="46">
        <v>58</v>
      </c>
      <c r="B154" s="141" t="s">
        <v>297</v>
      </c>
      <c r="C154" s="47" t="s">
        <v>298</v>
      </c>
      <c r="D154" s="48" t="s">
        <v>270</v>
      </c>
      <c r="E154" s="48" t="s">
        <v>270</v>
      </c>
      <c r="F154" s="48" t="s">
        <v>294</v>
      </c>
      <c r="G154" s="48" t="s">
        <v>64</v>
      </c>
      <c r="H154" s="48" t="s">
        <v>49</v>
      </c>
      <c r="I154" s="47" t="s">
        <v>185</v>
      </c>
      <c r="J154" s="47" t="s">
        <v>38</v>
      </c>
      <c r="K154" s="47" t="s">
        <v>39</v>
      </c>
      <c r="L154" s="48" t="s">
        <v>40</v>
      </c>
      <c r="M154" s="48"/>
      <c r="N154" s="48" t="s">
        <v>41</v>
      </c>
      <c r="O154" s="48" t="s">
        <v>42</v>
      </c>
      <c r="P154" s="48"/>
      <c r="Q154" s="47" t="s">
        <v>299</v>
      </c>
      <c r="R154" s="47"/>
      <c r="S154" s="47" t="s">
        <v>250</v>
      </c>
      <c r="T154" s="33" t="s">
        <v>45</v>
      </c>
      <c r="U154" s="34" t="s">
        <v>45</v>
      </c>
      <c r="V154" s="33"/>
      <c r="W154" s="33"/>
      <c r="X154" s="35"/>
      <c r="Y154" s="33"/>
      <c r="Z154" s="49"/>
      <c r="AA154" s="171">
        <v>2178739000</v>
      </c>
      <c r="AB154" s="172">
        <v>2879653000</v>
      </c>
      <c r="AC154" s="172">
        <v>2181500000</v>
      </c>
      <c r="AD154" s="172">
        <v>2780370000</v>
      </c>
      <c r="AE154" s="172">
        <v>2080305000</v>
      </c>
      <c r="AF154" s="171">
        <v>1046960083</v>
      </c>
      <c r="AG154" s="172">
        <v>874303916</v>
      </c>
      <c r="AH154" s="172">
        <v>963358574</v>
      </c>
      <c r="AI154" s="172">
        <v>709796272</v>
      </c>
      <c r="AJ154" s="173">
        <v>1077083391</v>
      </c>
      <c r="AK154" s="172">
        <v>547825000</v>
      </c>
      <c r="AL154" s="172">
        <v>1004470000</v>
      </c>
      <c r="AM154" s="172">
        <v>437252000</v>
      </c>
      <c r="AN154" s="172">
        <v>272692000</v>
      </c>
      <c r="AO154" s="172">
        <v>378968000</v>
      </c>
      <c r="AP154" s="171">
        <v>1439675000</v>
      </c>
      <c r="AQ154" s="172">
        <v>992720000</v>
      </c>
      <c r="AR154" s="172">
        <v>394630000</v>
      </c>
      <c r="AS154" s="172">
        <v>628768000</v>
      </c>
      <c r="AT154" s="173">
        <v>574189000</v>
      </c>
      <c r="AU154" s="172">
        <v>1343750067</v>
      </c>
      <c r="AV154" s="172">
        <v>887674954</v>
      </c>
      <c r="AW154" s="172">
        <v>1573793206</v>
      </c>
      <c r="AX154" s="172">
        <v>1445288730</v>
      </c>
      <c r="AY154" s="173">
        <v>1425172319</v>
      </c>
      <c r="AZ154" s="172">
        <v>186057236</v>
      </c>
      <c r="BA154" s="172">
        <v>409730233</v>
      </c>
      <c r="BB154" s="172">
        <v>298900288</v>
      </c>
      <c r="BC154" s="172">
        <v>522486629</v>
      </c>
      <c r="BD154" s="173">
        <v>66176181</v>
      </c>
      <c r="BE154" s="172">
        <v>241010582</v>
      </c>
      <c r="BF154" s="172">
        <v>106769757</v>
      </c>
      <c r="BG154" s="172">
        <v>58206738</v>
      </c>
      <c r="BH154" s="172">
        <v>210998044</v>
      </c>
      <c r="BI154" s="172">
        <v>24317321</v>
      </c>
      <c r="BJ154" s="171">
        <v>564849390</v>
      </c>
      <c r="BK154" s="172">
        <v>316518477</v>
      </c>
      <c r="BL154" s="172">
        <v>440626459</v>
      </c>
      <c r="BM154" s="172">
        <v>216770042</v>
      </c>
      <c r="BN154" s="173">
        <v>93235427</v>
      </c>
    </row>
    <row r="155" spans="1:66" ht="24" x14ac:dyDescent="0.25">
      <c r="A155" s="46">
        <v>59</v>
      </c>
      <c r="B155" s="137" t="s">
        <v>300</v>
      </c>
      <c r="C155" s="60" t="s">
        <v>301</v>
      </c>
      <c r="D155" s="61" t="s">
        <v>270</v>
      </c>
      <c r="E155" s="61" t="s">
        <v>270</v>
      </c>
      <c r="F155" s="61" t="s">
        <v>294</v>
      </c>
      <c r="G155" s="61" t="s">
        <v>64</v>
      </c>
      <c r="H155" s="61" t="s">
        <v>49</v>
      </c>
      <c r="I155" s="60" t="s">
        <v>235</v>
      </c>
      <c r="J155" s="60" t="s">
        <v>236</v>
      </c>
      <c r="K155" s="60" t="s">
        <v>43</v>
      </c>
      <c r="L155" s="61" t="s">
        <v>43</v>
      </c>
      <c r="M155" s="61"/>
      <c r="N155" s="61" t="s">
        <v>237</v>
      </c>
      <c r="O155" s="61" t="s">
        <v>42</v>
      </c>
      <c r="P155" s="61"/>
      <c r="Q155" s="60" t="s">
        <v>302</v>
      </c>
      <c r="R155" s="60"/>
      <c r="S155" s="188" t="s">
        <v>250</v>
      </c>
      <c r="T155" s="33"/>
      <c r="U155" s="34" t="s">
        <v>45</v>
      </c>
      <c r="V155" s="33"/>
      <c r="W155" s="33"/>
      <c r="X155" s="35"/>
      <c r="Y155" s="33"/>
      <c r="Z155" s="49"/>
      <c r="AA155" s="187">
        <v>7892502000</v>
      </c>
      <c r="AB155" s="178">
        <v>7447294000</v>
      </c>
      <c r="AC155" s="178">
        <v>7098305000</v>
      </c>
      <c r="AD155" s="178">
        <v>6468824000</v>
      </c>
      <c r="AE155" s="178">
        <v>5925902000</v>
      </c>
      <c r="AF155" s="187">
        <v>5977317312</v>
      </c>
      <c r="AG155" s="178">
        <v>5247100572</v>
      </c>
      <c r="AH155" s="178">
        <v>4815286269</v>
      </c>
      <c r="AI155" s="178">
        <v>4304765696</v>
      </c>
      <c r="AJ155" s="179">
        <v>3572319226</v>
      </c>
      <c r="AK155" s="177">
        <v>8640854000</v>
      </c>
      <c r="AL155" s="177">
        <v>7446199000</v>
      </c>
      <c r="AM155" s="177">
        <v>6955786000</v>
      </c>
      <c r="AN155" s="177">
        <v>6184573000</v>
      </c>
      <c r="AO155" s="177">
        <v>5632296000</v>
      </c>
      <c r="AP155" s="187">
        <v>6576461000</v>
      </c>
      <c r="AQ155" s="178">
        <v>5911639000</v>
      </c>
      <c r="AR155" s="178">
        <v>6576031000</v>
      </c>
      <c r="AS155" s="178">
        <v>4914202000</v>
      </c>
      <c r="AT155" s="179">
        <v>4632868000</v>
      </c>
      <c r="AU155" s="177">
        <v>4766617621</v>
      </c>
      <c r="AV155" s="177">
        <v>4299619422</v>
      </c>
      <c r="AW155" s="177">
        <v>4257136931</v>
      </c>
      <c r="AX155" s="177">
        <v>3934436655</v>
      </c>
      <c r="AY155" s="180">
        <v>3987222239</v>
      </c>
      <c r="AZ155" s="178">
        <v>1750402267</v>
      </c>
      <c r="BA155" s="178">
        <v>1716616688</v>
      </c>
      <c r="BB155" s="178">
        <v>1858808571</v>
      </c>
      <c r="BC155" s="178">
        <v>1912238132</v>
      </c>
      <c r="BD155" s="179">
        <v>1629721414</v>
      </c>
      <c r="BE155" s="177">
        <v>1129245617</v>
      </c>
      <c r="BF155" s="177">
        <v>982560038</v>
      </c>
      <c r="BG155" s="177">
        <v>952656803</v>
      </c>
      <c r="BH155" s="177">
        <v>861417819</v>
      </c>
      <c r="BI155" s="177">
        <v>784865582</v>
      </c>
      <c r="BJ155" s="181">
        <v>1029344532</v>
      </c>
      <c r="BK155" s="177">
        <v>920307503</v>
      </c>
      <c r="BL155" s="177">
        <v>860487677</v>
      </c>
      <c r="BM155" s="177">
        <v>749171468</v>
      </c>
      <c r="BN155" s="180">
        <v>695516688</v>
      </c>
    </row>
    <row r="156" spans="1:66" ht="24" x14ac:dyDescent="0.25">
      <c r="A156" s="46">
        <v>60</v>
      </c>
      <c r="B156" s="137" t="s">
        <v>303</v>
      </c>
      <c r="C156" s="60" t="s">
        <v>304</v>
      </c>
      <c r="D156" s="61" t="s">
        <v>270</v>
      </c>
      <c r="E156" s="61" t="s">
        <v>270</v>
      </c>
      <c r="F156" s="61" t="s">
        <v>294</v>
      </c>
      <c r="G156" s="61" t="s">
        <v>64</v>
      </c>
      <c r="H156" s="61" t="s">
        <v>49</v>
      </c>
      <c r="I156" s="60" t="s">
        <v>235</v>
      </c>
      <c r="J156" s="60" t="s">
        <v>236</v>
      </c>
      <c r="K156" s="60" t="s">
        <v>43</v>
      </c>
      <c r="L156" s="61" t="s">
        <v>43</v>
      </c>
      <c r="M156" s="61"/>
      <c r="N156" s="61" t="s">
        <v>237</v>
      </c>
      <c r="O156" s="61" t="s">
        <v>42</v>
      </c>
      <c r="P156" s="61"/>
      <c r="Q156" s="60" t="s">
        <v>305</v>
      </c>
      <c r="R156" s="60"/>
      <c r="S156" s="188" t="s">
        <v>250</v>
      </c>
      <c r="T156" s="33"/>
      <c r="U156" s="34" t="s">
        <v>45</v>
      </c>
      <c r="V156" s="33"/>
      <c r="W156" s="33"/>
      <c r="X156" s="35"/>
      <c r="Y156" s="33"/>
      <c r="Z156" s="49"/>
      <c r="AA156" s="187">
        <v>31554713000</v>
      </c>
      <c r="AB156" s="178">
        <v>29785988000</v>
      </c>
      <c r="AC156" s="178">
        <v>26057141000</v>
      </c>
      <c r="AD156" s="178">
        <v>24789476000</v>
      </c>
      <c r="AE156" s="178">
        <v>23609381000</v>
      </c>
      <c r="AF156" s="187">
        <v>17544520387</v>
      </c>
      <c r="AG156" s="178">
        <v>16359268905</v>
      </c>
      <c r="AH156" s="178">
        <v>14118095380</v>
      </c>
      <c r="AI156" s="178">
        <v>12018548348</v>
      </c>
      <c r="AJ156" s="179">
        <v>10385573703</v>
      </c>
      <c r="AK156" s="177">
        <v>20580357000</v>
      </c>
      <c r="AL156" s="177">
        <v>19477444000</v>
      </c>
      <c r="AM156" s="177">
        <f>16416945000</f>
        <v>16416945000</v>
      </c>
      <c r="AN156" s="177">
        <f>14733817000</f>
        <v>14733817000</v>
      </c>
      <c r="AO156" s="177">
        <v>14152253000</v>
      </c>
      <c r="AP156" s="187">
        <v>23064108000</v>
      </c>
      <c r="AQ156" s="178">
        <v>21252681000</v>
      </c>
      <c r="AR156" s="178">
        <v>21188542000</v>
      </c>
      <c r="AS156" s="178">
        <v>18871890000</v>
      </c>
      <c r="AT156" s="179">
        <v>17355298000</v>
      </c>
      <c r="AU156" s="177">
        <v>14346669489</v>
      </c>
      <c r="AV156" s="177">
        <v>13118783748</v>
      </c>
      <c r="AW156" s="177">
        <v>10470284769</v>
      </c>
      <c r="AX156" s="177">
        <v>9324933355</v>
      </c>
      <c r="AY156" s="180">
        <f>7856804523</f>
        <v>7856804523</v>
      </c>
      <c r="AZ156" s="178">
        <f>3193940450+2279245040</f>
        <v>5473185490</v>
      </c>
      <c r="BA156" s="178">
        <f>3432861399+2314792251</f>
        <v>5747653650</v>
      </c>
      <c r="BB156" s="178">
        <f>3184901109+2238383038</f>
        <v>5423284147</v>
      </c>
      <c r="BC156" s="178">
        <f>3132274591+1887634559</f>
        <v>5019909150</v>
      </c>
      <c r="BD156" s="179">
        <f>2467722107+2035884538</f>
        <v>4503606645</v>
      </c>
      <c r="BE156" s="177">
        <v>2068053496</v>
      </c>
      <c r="BF156" s="177">
        <v>2229944914</v>
      </c>
      <c r="BG156" s="177">
        <v>2457910079</v>
      </c>
      <c r="BH156" s="177">
        <v>1890568295</v>
      </c>
      <c r="BI156" s="177">
        <v>1591326950</v>
      </c>
      <c r="BJ156" s="181">
        <v>3453534246</v>
      </c>
      <c r="BK156" s="177">
        <v>3174446083</v>
      </c>
      <c r="BL156" s="177">
        <v>1943714326</v>
      </c>
      <c r="BM156" s="177">
        <v>1587525944</v>
      </c>
      <c r="BN156" s="180">
        <v>1347534742</v>
      </c>
    </row>
    <row r="157" spans="1:66" ht="24" x14ac:dyDescent="0.25">
      <c r="A157" s="46">
        <v>61</v>
      </c>
      <c r="B157" s="137" t="s">
        <v>306</v>
      </c>
      <c r="C157" s="60" t="s">
        <v>307</v>
      </c>
      <c r="D157" s="61" t="s">
        <v>270</v>
      </c>
      <c r="E157" s="61" t="s">
        <v>270</v>
      </c>
      <c r="F157" s="61" t="s">
        <v>294</v>
      </c>
      <c r="G157" s="61" t="s">
        <v>64</v>
      </c>
      <c r="H157" s="61" t="s">
        <v>49</v>
      </c>
      <c r="I157" s="60" t="s">
        <v>235</v>
      </c>
      <c r="J157" s="60" t="s">
        <v>236</v>
      </c>
      <c r="K157" s="60" t="s">
        <v>43</v>
      </c>
      <c r="L157" s="61" t="s">
        <v>43</v>
      </c>
      <c r="M157" s="61"/>
      <c r="N157" s="61" t="s">
        <v>237</v>
      </c>
      <c r="O157" s="61" t="s">
        <v>42</v>
      </c>
      <c r="P157" s="61"/>
      <c r="Q157" s="60" t="s">
        <v>308</v>
      </c>
      <c r="R157" s="60"/>
      <c r="S157" s="188" t="s">
        <v>250</v>
      </c>
      <c r="T157" s="33"/>
      <c r="U157" s="34" t="s">
        <v>45</v>
      </c>
      <c r="V157" s="33"/>
      <c r="W157" s="33"/>
      <c r="X157" s="35"/>
      <c r="Y157" s="33"/>
      <c r="Z157" s="49"/>
      <c r="AA157" s="187">
        <v>5327242000</v>
      </c>
      <c r="AB157" s="178">
        <v>5400846000</v>
      </c>
      <c r="AC157" s="178">
        <v>2174445000</v>
      </c>
      <c r="AD157" s="178">
        <v>695161000</v>
      </c>
      <c r="AE157" s="178">
        <v>305832000</v>
      </c>
      <c r="AF157" s="187">
        <v>174299426</v>
      </c>
      <c r="AG157" s="178">
        <v>686118280</v>
      </c>
      <c r="AH157" s="178">
        <v>643631587</v>
      </c>
      <c r="AI157" s="178">
        <v>414103598</v>
      </c>
      <c r="AJ157" s="179">
        <v>111632939</v>
      </c>
      <c r="AK157" s="177">
        <v>2266559000</v>
      </c>
      <c r="AL157" s="177">
        <v>4730196000</v>
      </c>
      <c r="AM157" s="177">
        <v>3481533000</v>
      </c>
      <c r="AN157" s="177">
        <v>3304129000</v>
      </c>
      <c r="AO157" s="177">
        <v>4653456000</v>
      </c>
      <c r="AP157" s="187">
        <v>996029000</v>
      </c>
      <c r="AQ157" s="178">
        <v>979463000</v>
      </c>
      <c r="AR157" s="178">
        <v>783420000</v>
      </c>
      <c r="AS157" s="178">
        <v>684619000</v>
      </c>
      <c r="AT157" s="179">
        <v>520717000</v>
      </c>
      <c r="AU157" s="177">
        <v>5894540499</v>
      </c>
      <c r="AV157" s="177">
        <v>4374377023</v>
      </c>
      <c r="AW157" s="177">
        <v>3050454531</v>
      </c>
      <c r="AX157" s="177">
        <v>1431951245</v>
      </c>
      <c r="AY157" s="180">
        <v>704129378</v>
      </c>
      <c r="AZ157" s="178">
        <v>130077012</v>
      </c>
      <c r="BA157" s="178">
        <v>274851075</v>
      </c>
      <c r="BB157" s="178">
        <v>224886488</v>
      </c>
      <c r="BC157" s="178">
        <v>189039374</v>
      </c>
      <c r="BD157" s="179">
        <v>166403825</v>
      </c>
      <c r="BE157" s="177">
        <v>2162739494</v>
      </c>
      <c r="BF157" s="177">
        <v>1841692449</v>
      </c>
      <c r="BG157" s="177">
        <v>1522347706</v>
      </c>
      <c r="BH157" s="177">
        <v>741246762</v>
      </c>
      <c r="BI157" s="177">
        <v>559471089</v>
      </c>
      <c r="BJ157" s="181">
        <v>132390525</v>
      </c>
      <c r="BK157" s="177">
        <v>257366261</v>
      </c>
      <c r="BL157" s="177">
        <v>341761026</v>
      </c>
      <c r="BM157" s="177">
        <v>246465537</v>
      </c>
      <c r="BN157" s="180">
        <v>45461179</v>
      </c>
    </row>
    <row r="158" spans="1:66" ht="28.5" customHeight="1" x14ac:dyDescent="0.25">
      <c r="A158" s="46">
        <v>62</v>
      </c>
      <c r="B158" s="141" t="s">
        <v>309</v>
      </c>
      <c r="C158" s="47" t="s">
        <v>310</v>
      </c>
      <c r="D158" s="48" t="s">
        <v>270</v>
      </c>
      <c r="E158" s="48" t="s">
        <v>270</v>
      </c>
      <c r="F158" s="48" t="s">
        <v>294</v>
      </c>
      <c r="G158" s="48" t="s">
        <v>64</v>
      </c>
      <c r="H158" s="48" t="s">
        <v>198</v>
      </c>
      <c r="I158" s="47" t="s">
        <v>185</v>
      </c>
      <c r="J158" s="47" t="s">
        <v>38</v>
      </c>
      <c r="K158" s="47" t="s">
        <v>39</v>
      </c>
      <c r="L158" s="48" t="s">
        <v>40</v>
      </c>
      <c r="M158" s="48"/>
      <c r="N158" s="48" t="s">
        <v>41</v>
      </c>
      <c r="O158" s="48" t="s">
        <v>42</v>
      </c>
      <c r="P158" s="48"/>
      <c r="Q158" s="47" t="s">
        <v>311</v>
      </c>
      <c r="R158" s="47"/>
      <c r="S158" s="47" t="s">
        <v>250</v>
      </c>
      <c r="T158" s="33" t="s">
        <v>45</v>
      </c>
      <c r="U158" s="34" t="s">
        <v>45</v>
      </c>
      <c r="V158" s="33"/>
      <c r="W158" s="33"/>
      <c r="X158" s="35"/>
      <c r="Y158" s="33"/>
      <c r="Z158" s="49"/>
      <c r="AA158" s="189">
        <f>(14681234-310373)/13797925</f>
        <v>1.0415233449957149</v>
      </c>
      <c r="AB158" s="109">
        <f>(13240591-355783)/13330846</f>
        <v>0.96654090820642591</v>
      </c>
      <c r="AC158" s="109">
        <f>(9848368-313352)/10455509</f>
        <v>0.91196095761574114</v>
      </c>
      <c r="AD158" s="109">
        <f>(6660810-214456)/9036289</f>
        <v>0.71338510753695461</v>
      </c>
      <c r="AE158" s="109">
        <f>(4867644-177858)/7673758</f>
        <v>0.61114593397394079</v>
      </c>
      <c r="AF158" s="189">
        <f>(4588000011-411003764)/6329985191</f>
        <v>0.65987456857543225</v>
      </c>
      <c r="AG158" s="109">
        <f>(5496257049-399467833)/6544586364</f>
        <v>0.77877942661679267</v>
      </c>
      <c r="AH158" s="109">
        <f>(5029072029-417521069)/6037825774</f>
        <v>0.76377675219748731</v>
      </c>
      <c r="AI158" s="109">
        <f>(4463034076-328973678)/4897877738</f>
        <v>0.84405136655944846</v>
      </c>
      <c r="AJ158" s="190">
        <f>(3980440230-213011451)/4535887643</f>
        <v>0.83058247371141947</v>
      </c>
      <c r="AK158" s="109">
        <f>(9904351-269283)/8155256</f>
        <v>1.1814550027614092</v>
      </c>
      <c r="AL158" s="109">
        <f>(12900815-256550)/7988695</f>
        <v>1.5827697765404738</v>
      </c>
      <c r="AM158" s="109">
        <f>(10930435-254385)/7140811</f>
        <v>1.4950752792644981</v>
      </c>
      <c r="AN158" s="109">
        <f>(9617108-236634)/5943541</f>
        <v>1.5782635301077252</v>
      </c>
      <c r="AO158" s="109">
        <f>(8620943-199558)/5534253</f>
        <v>1.5216841369557914</v>
      </c>
      <c r="AP158" s="189">
        <f>(12876058-341913)/10700845</f>
        <v>1.1713229188909848</v>
      </c>
      <c r="AQ158" s="109">
        <f>(11289663-233332)/9328437</f>
        <v>1.1852286722845424</v>
      </c>
      <c r="AR158" s="109">
        <f>(11541307-240744)/8222796</f>
        <v>1.3742968936600155</v>
      </c>
      <c r="AS158" s="109">
        <f>(9339088-216592)/7490248</f>
        <v>1.2179164161186653</v>
      </c>
      <c r="AT158" s="190">
        <f>(7983108-229164)/7215104</f>
        <v>1.0746822221827987</v>
      </c>
      <c r="AU158" s="109">
        <f>(11235554047-155324378)/6495612003</f>
        <v>1.7058022652650118</v>
      </c>
      <c r="AV158" s="109">
        <f>(8582096013-128801347)/6094810989</f>
        <v>1.3869658437737651</v>
      </c>
      <c r="AW158" s="109">
        <f>(6095487704-155946657)/3830113070</f>
        <v>1.5507482255608709</v>
      </c>
      <c r="AX158" s="109">
        <f>(4460585229-145166073)/3553158582</f>
        <v>1.2145304118599005</v>
      </c>
      <c r="AY158" s="190">
        <f>(2710890786-159983121)/3715256139</f>
        <v>0.68660344524364436</v>
      </c>
      <c r="AZ158" s="109">
        <f>(3199272748-107225607)/2279245040</f>
        <v>1.3566102313422168</v>
      </c>
      <c r="BA158" s="109">
        <f>(2626290180-105955694)/2314792251</f>
        <v>1.0887951110563832</v>
      </c>
      <c r="BB158" s="109">
        <f>(2111714868-108101071)/2238383038</f>
        <v>0.89511659219426232</v>
      </c>
      <c r="BC158" s="109">
        <f>(1429709616-108055758)/1887634559</f>
        <v>0.70016405013275662</v>
      </c>
      <c r="BD158" s="190"/>
      <c r="BE158" s="109">
        <f>(2881136719-84508538)/1065249830</f>
        <v>2.6253260993245124</v>
      </c>
      <c r="BF158" s="109">
        <f>(2577140688-71653231)/1237583504</f>
        <v>2.0244997197376993</v>
      </c>
      <c r="BG158" s="109">
        <f>(2421232708-117116161)/1443045960</f>
        <v>1.5967035083206913</v>
      </c>
      <c r="BH158" s="109">
        <f>(1220127877-137420107)/914142891</f>
        <v>1.1843966415530545</v>
      </c>
      <c r="BI158" s="109">
        <f>(1170828692-96790994)/789017320</f>
        <v>1.3612346279039857</v>
      </c>
      <c r="BJ158" s="189">
        <f>(1340705401-175113814)/2145985001</f>
        <v>0.54314992250964012</v>
      </c>
      <c r="BK158" s="109">
        <f>(876506088-129166795)/2055779284</f>
        <v>0.3635308998473204</v>
      </c>
      <c r="BL158" s="109">
        <f>(1153088730-47163654)/1340584424</f>
        <v>0.82495742617997181</v>
      </c>
      <c r="BM158" s="109">
        <f>(714595939-40952174)/1048730810</f>
        <v>0.64234192280476632</v>
      </c>
      <c r="BN158" s="190">
        <f>(507170215-53449088)/911090915</f>
        <v>0.49799764165138227</v>
      </c>
    </row>
    <row r="159" spans="1:66" ht="34.5" customHeight="1" x14ac:dyDescent="0.25">
      <c r="A159" s="46">
        <v>63</v>
      </c>
      <c r="B159" s="141" t="s">
        <v>312</v>
      </c>
      <c r="C159" s="47" t="s">
        <v>313</v>
      </c>
      <c r="D159" s="48" t="s">
        <v>270</v>
      </c>
      <c r="E159" s="48" t="s">
        <v>270</v>
      </c>
      <c r="F159" s="48" t="s">
        <v>294</v>
      </c>
      <c r="G159" s="48" t="s">
        <v>64</v>
      </c>
      <c r="H159" s="48" t="s">
        <v>198</v>
      </c>
      <c r="I159" s="47" t="s">
        <v>185</v>
      </c>
      <c r="J159" s="47" t="s">
        <v>38</v>
      </c>
      <c r="K159" s="47" t="s">
        <v>39</v>
      </c>
      <c r="L159" s="48" t="s">
        <v>40</v>
      </c>
      <c r="M159" s="48"/>
      <c r="N159" s="48" t="s">
        <v>41</v>
      </c>
      <c r="O159" s="48" t="s">
        <v>42</v>
      </c>
      <c r="P159" s="48"/>
      <c r="Q159" s="47" t="s">
        <v>311</v>
      </c>
      <c r="R159" s="47"/>
      <c r="S159" s="47" t="s">
        <v>250</v>
      </c>
      <c r="T159" s="33" t="s">
        <v>45</v>
      </c>
      <c r="U159" s="34" t="s">
        <v>45</v>
      </c>
      <c r="V159" s="33"/>
      <c r="W159" s="33"/>
      <c r="X159" s="35"/>
      <c r="Y159" s="33"/>
      <c r="Z159" s="49"/>
      <c r="AA159" s="189">
        <f>31554713/38296955</f>
        <v>0.82394835307402381</v>
      </c>
      <c r="AB159" s="109">
        <f>29785988/34915602</f>
        <v>0.85308533417238519</v>
      </c>
      <c r="AC159" s="109">
        <f>26057141/35059590</f>
        <v>0.74322435031328093</v>
      </c>
      <c r="AD159" s="109">
        <f>24789476/29823853</f>
        <v>0.83119629110296378</v>
      </c>
      <c r="AE159" s="109">
        <f>23609381/26092141</f>
        <v>0.90484644399246505</v>
      </c>
      <c r="AF159" s="189">
        <f>17544520387/23205145162</f>
        <v>0.75606165203958053</v>
      </c>
      <c r="AG159" s="109">
        <f>16359268905/21718394806</f>
        <v>0.75324484388139634</v>
      </c>
      <c r="AH159" s="109">
        <f>14118095380/18846452897</f>
        <v>0.74911154142153369</v>
      </c>
      <c r="AI159" s="109">
        <f>12018548348/15238607319</f>
        <v>0.78869073114147881</v>
      </c>
      <c r="AJ159" s="190">
        <f>10385573703/13689663549</f>
        <v>0.75864345868154248</v>
      </c>
      <c r="AK159" s="109">
        <f>20580357/28190924</f>
        <v>0.73003485093287468</v>
      </c>
      <c r="AL159" s="109">
        <f>19477444/27363454</f>
        <v>0.71180502286005265</v>
      </c>
      <c r="AM159" s="109">
        <f>16416945/23823188</f>
        <v>0.68911620896414028</v>
      </c>
      <c r="AN159" s="109">
        <f>14733817/20620599</f>
        <v>0.71451935028657509</v>
      </c>
      <c r="AO159" s="109">
        <f>14152253/18708553</f>
        <v>0.75645898429450953</v>
      </c>
      <c r="AP159" s="189">
        <f>23064108/26233454</f>
        <v>0.87918685812398167</v>
      </c>
      <c r="AQ159" s="109">
        <f>21252681/24425184</f>
        <v>0.87011344520475264</v>
      </c>
      <c r="AR159" s="109">
        <f>21188542/22500472</f>
        <v>0.94169322314660775</v>
      </c>
      <c r="AS159" s="109">
        <f>18871890/19290065</f>
        <v>0.97832174230620783</v>
      </c>
      <c r="AT159" s="190">
        <f>17355298/18958818</f>
        <v>0.91542088752579409</v>
      </c>
      <c r="AU159" s="109">
        <f>14346669489/25064763396</f>
        <v>0.57238399829816611</v>
      </c>
      <c r="AV159" s="109">
        <f>13118783748/22243406190</f>
        <v>0.58978304113772961</v>
      </c>
      <c r="AW159" s="109">
        <f>10470284769/20856136015</f>
        <v>0.50202418901898405</v>
      </c>
      <c r="AX159" s="109">
        <f>9324933355/16862233223</f>
        <v>0.55300702058140427</v>
      </c>
      <c r="AY159" s="190">
        <f>7856804523/13995782819</f>
        <v>0.5613694228188495</v>
      </c>
      <c r="AZ159" s="109">
        <f>+(3193940450+2279245040)/8491847390</f>
        <v>0.64452235640094324</v>
      </c>
      <c r="BA159" s="109">
        <f>(3432861399+2314792251)/7946202186</f>
        <v>0.72332084126005403</v>
      </c>
      <c r="BB159" s="109">
        <f>(3184901109+2238383038)/7606936684</f>
        <v>0.71293930425463237</v>
      </c>
      <c r="BC159" s="109">
        <f>(3132274591+1887634559)/6333024030</f>
        <v>0.79265594544096496</v>
      </c>
      <c r="BD159" s="190"/>
      <c r="BE159" s="109">
        <f>2068053495/5170123855</f>
        <v>0.40000076458516487</v>
      </c>
      <c r="BF159" s="109">
        <f>2229944914/4443512283</f>
        <v>0.50184286032725256</v>
      </c>
      <c r="BG159" s="109">
        <f>2457910079/3591525566</f>
        <v>0.68436379856748597</v>
      </c>
      <c r="BH159" s="109">
        <f>1890568295/3038833486</f>
        <v>0.62213619262454056</v>
      </c>
      <c r="BI159" s="109">
        <f>1591326950/2769512039</f>
        <v>0.57458748241245683</v>
      </c>
      <c r="BJ159" s="189">
        <f>3453534246/4302761082</f>
        <v>0.80263211927972899</v>
      </c>
      <c r="BK159" s="109">
        <f>3174446083/3133503001</f>
        <v>1.013066233537014</v>
      </c>
      <c r="BL159" s="109">
        <f>1943714326/4072877392</f>
        <v>0.47723369473823829</v>
      </c>
      <c r="BM159" s="109">
        <f>1587525944/3138140054</f>
        <v>0.50588116421906515</v>
      </c>
      <c r="BN159" s="190">
        <f>1347534742/2730055221</f>
        <v>0.49359248546862999</v>
      </c>
    </row>
    <row r="160" spans="1:66" ht="15.75" x14ac:dyDescent="0.25">
      <c r="A160" s="46">
        <v>64</v>
      </c>
      <c r="B160" s="141" t="s">
        <v>314</v>
      </c>
      <c r="C160" s="47" t="s">
        <v>315</v>
      </c>
      <c r="D160" s="48" t="s">
        <v>270</v>
      </c>
      <c r="E160" s="48" t="s">
        <v>270</v>
      </c>
      <c r="F160" s="48" t="s">
        <v>294</v>
      </c>
      <c r="G160" s="48" t="s">
        <v>64</v>
      </c>
      <c r="H160" s="48" t="s">
        <v>198</v>
      </c>
      <c r="I160" s="47" t="s">
        <v>185</v>
      </c>
      <c r="J160" s="47" t="s">
        <v>38</v>
      </c>
      <c r="K160" s="47" t="s">
        <v>39</v>
      </c>
      <c r="L160" s="48" t="s">
        <v>40</v>
      </c>
      <c r="M160" s="48"/>
      <c r="N160" s="48" t="s">
        <v>41</v>
      </c>
      <c r="O160" s="48" t="s">
        <v>42</v>
      </c>
      <c r="P160" s="48"/>
      <c r="Q160" s="47" t="s">
        <v>311</v>
      </c>
      <c r="R160" s="47"/>
      <c r="S160" s="47" t="s">
        <v>250</v>
      </c>
      <c r="T160" s="33" t="s">
        <v>45</v>
      </c>
      <c r="U160" s="34" t="s">
        <v>45</v>
      </c>
      <c r="V160" s="33"/>
      <c r="W160" s="33"/>
      <c r="X160" s="35"/>
      <c r="Y160" s="33"/>
      <c r="Z160" s="49"/>
      <c r="AA160" s="189">
        <f>14681234/13797925</f>
        <v>1.0640175243741359</v>
      </c>
      <c r="AB160" s="109">
        <f>13240591/13330846</f>
        <v>0.99322961198411563</v>
      </c>
      <c r="AC160" s="109">
        <f>9848368/10455509</f>
        <v>0.94193099542069159</v>
      </c>
      <c r="AD160" s="109">
        <f>6660810/9036289</f>
        <v>0.73711785889096726</v>
      </c>
      <c r="AE160" s="109">
        <f>4867644/7673758</f>
        <v>0.63432336542278245</v>
      </c>
      <c r="AF160" s="189">
        <f>4588000011/6329985191</f>
        <v>0.72480422505936315</v>
      </c>
      <c r="AG160" s="109">
        <f>5496257049/6544586364</f>
        <v>0.83981733043258833</v>
      </c>
      <c r="AH160" s="109">
        <f>(5029072029)/6037825774</f>
        <v>0.83292764932968399</v>
      </c>
      <c r="AI160" s="109">
        <f>(4463034076)/4897877738</f>
        <v>0.91121794269663337</v>
      </c>
      <c r="AJ160" s="190">
        <f>(3980440230)/4535887643</f>
        <v>0.87754383337576869</v>
      </c>
      <c r="AK160" s="109">
        <f>(9904351)/8155256</f>
        <v>1.2144745670767416</v>
      </c>
      <c r="AL160" s="109">
        <f>(12900815)/7988695</f>
        <v>1.6148839078222412</v>
      </c>
      <c r="AM160" s="109">
        <f>(10930435)/7140811</f>
        <v>1.5306993841455823</v>
      </c>
      <c r="AN160" s="109">
        <f>(9617108)/5943541</f>
        <v>1.6180771698218284</v>
      </c>
      <c r="AO160" s="109">
        <f>(8620943)/5534253</f>
        <v>1.5577428426203139</v>
      </c>
      <c r="AP160" s="189">
        <f>(12876058)/10700845</f>
        <v>1.2032748815630916</v>
      </c>
      <c r="AQ160" s="109">
        <f>(11289663)/9328437</f>
        <v>1.2102416514149155</v>
      </c>
      <c r="AR160" s="109">
        <f>(11541307/8222796)</f>
        <v>1.4035745262317101</v>
      </c>
      <c r="AS160" s="109">
        <f>(9339088)/7490248</f>
        <v>1.2468329486553715</v>
      </c>
      <c r="AT160" s="190">
        <f>(7983108)/7215104</f>
        <v>1.1064439265185921</v>
      </c>
      <c r="AU160" s="109">
        <f>(11235554047)/6495612003</f>
        <v>1.729714465982706</v>
      </c>
      <c r="AV160" s="109">
        <f>(8582096013)/6094810989</f>
        <v>1.4080987955966291</v>
      </c>
      <c r="AW160" s="109">
        <f>(6095487704)/3830113070</f>
        <v>1.5914641663568434</v>
      </c>
      <c r="AX160" s="109">
        <f>(4460585229)/3553158582</f>
        <v>1.2553859125784439</v>
      </c>
      <c r="AY160" s="190">
        <f>(2710890786)/3715256139</f>
        <v>0.72966457347128277</v>
      </c>
      <c r="AZ160" s="109">
        <f>(3199272748)/2279245040</f>
        <v>1.403654583800257</v>
      </c>
      <c r="BA160" s="109">
        <f>(2626290180)/2314792251</f>
        <v>1.1345684170427959</v>
      </c>
      <c r="BB160" s="109">
        <f>(2111714868)/2238383038</f>
        <v>0.94341086049634371</v>
      </c>
      <c r="BC160" s="109">
        <f>(1429709616)/1887634559</f>
        <v>0.75740805294294256</v>
      </c>
      <c r="BD160" s="190"/>
      <c r="BE160" s="109">
        <f>(2881136719)/1065249830</f>
        <v>2.7046582293282317</v>
      </c>
      <c r="BF160" s="109">
        <f>(2577140688)/1237583504</f>
        <v>2.0823974137263548</v>
      </c>
      <c r="BG160" s="109">
        <f>(2421232708)/1443045960</f>
        <v>1.6778625041159465</v>
      </c>
      <c r="BH160" s="109">
        <f>(1220127877)/914142891</f>
        <v>1.3347233665683016</v>
      </c>
      <c r="BI160" s="109">
        <f>(1170828692)/789017320</f>
        <v>1.4839074660617082</v>
      </c>
      <c r="BJ160" s="189">
        <f>(1340705401)/2145985001</f>
        <v>0.62475059256017607</v>
      </c>
      <c r="BK160" s="109">
        <f>(876506088)/2055779284</f>
        <v>0.42636196153049666</v>
      </c>
      <c r="BL160" s="109">
        <f>(1153088730)/1340584424</f>
        <v>0.86013883896953292</v>
      </c>
      <c r="BM160" s="109">
        <f>(714595939)/1048730810</f>
        <v>0.68139119418070682</v>
      </c>
      <c r="BN160" s="190">
        <f>(507170215)/911090915</f>
        <v>0.55666257521621754</v>
      </c>
    </row>
    <row r="161" spans="1:66" ht="48" x14ac:dyDescent="0.25">
      <c r="A161" s="46">
        <v>65</v>
      </c>
      <c r="B161" s="141" t="s">
        <v>316</v>
      </c>
      <c r="C161" s="47" t="s">
        <v>317</v>
      </c>
      <c r="D161" s="48" t="s">
        <v>270</v>
      </c>
      <c r="E161" s="48" t="s">
        <v>270</v>
      </c>
      <c r="F161" s="48" t="s">
        <v>294</v>
      </c>
      <c r="G161" s="48" t="s">
        <v>64</v>
      </c>
      <c r="H161" s="48" t="s">
        <v>198</v>
      </c>
      <c r="I161" s="47" t="s">
        <v>185</v>
      </c>
      <c r="J161" s="47" t="s">
        <v>38</v>
      </c>
      <c r="K161" s="47" t="s">
        <v>39</v>
      </c>
      <c r="L161" s="48" t="s">
        <v>40</v>
      </c>
      <c r="M161" s="48"/>
      <c r="N161" s="48" t="s">
        <v>41</v>
      </c>
      <c r="O161" s="48" t="s">
        <v>42</v>
      </c>
      <c r="P161" s="48"/>
      <c r="Q161" s="47" t="s">
        <v>311</v>
      </c>
      <c r="R161" s="47"/>
      <c r="S161" s="47" t="s">
        <v>250</v>
      </c>
      <c r="T161" s="33" t="s">
        <v>45</v>
      </c>
      <c r="U161" s="34" t="s">
        <v>45</v>
      </c>
      <c r="V161" s="33"/>
      <c r="W161" s="33"/>
      <c r="X161" s="35"/>
      <c r="Y161" s="33"/>
      <c r="Z161" s="49"/>
      <c r="AA161" s="189">
        <f>31554713/66640004</f>
        <v>0.47351007061764283</v>
      </c>
      <c r="AB161" s="109">
        <f>29785988/60533731</f>
        <v>0.49205604062303709</v>
      </c>
      <c r="AC161" s="109">
        <f>26862064/52919205</f>
        <v>0.50760520684314892</v>
      </c>
      <c r="AD161" s="109">
        <f>24789476/47440465</f>
        <v>0.52253863869167383</v>
      </c>
      <c r="AE161" s="109">
        <f>23609381/42930190</f>
        <v>0.54994820661171073</v>
      </c>
      <c r="AF161" s="189">
        <f>17544520387/32166784730</f>
        <v>0.54542350235699166</v>
      </c>
      <c r="AG161" s="109">
        <f>16359268905/29903450898</f>
        <v>0.54706959945195288</v>
      </c>
      <c r="AH161" s="109">
        <f>14118095380/25781290994</f>
        <v>0.5476101015765914</v>
      </c>
      <c r="AI161" s="109">
        <f>12018548348/21655895874</f>
        <v>0.55497811856536639</v>
      </c>
      <c r="AJ161" s="190">
        <f>10385573703/19061221263</f>
        <v>0.5448535306160881</v>
      </c>
      <c r="AK161" s="109">
        <f>20580357/44722029</f>
        <v>0.46018388387521503</v>
      </c>
      <c r="AL161" s="109">
        <f>19477444/41934640</f>
        <v>0.46447147274902084</v>
      </c>
      <c r="AM161" s="109">
        <f>16416945/35846493</f>
        <v>0.45797911109463346</v>
      </c>
      <c r="AN161" s="109">
        <f>14733817/31645628</f>
        <v>0.46558775828370352</v>
      </c>
      <c r="AO161" s="109">
        <f>14152253/29237981</f>
        <v>0.48403660293780204</v>
      </c>
      <c r="AP161" s="189">
        <f>23064108/52347610</f>
        <v>0.44059524398535099</v>
      </c>
      <c r="AQ161" s="109">
        <f>21252681/48110140</f>
        <v>0.44175055404120628</v>
      </c>
      <c r="AR161" s="109">
        <f>21188542/46712280</f>
        <v>0.45359682721545597</v>
      </c>
      <c r="AS161" s="109">
        <f>18871890/42609538</f>
        <v>0.44290294816151254</v>
      </c>
      <c r="AT161" s="190">
        <f>17355298/38651565</f>
        <v>0.44901928291907456</v>
      </c>
      <c r="AU161" s="109">
        <f>14346669489/56028539832</f>
        <v>0.25606002819309737</v>
      </c>
      <c r="AV161" s="109">
        <f>13118783748/52923531407</f>
        <v>0.24788186652005664</v>
      </c>
      <c r="AW161" s="109">
        <f>10470284769/50140242129</f>
        <v>0.20881998818558198</v>
      </c>
      <c r="AX161" s="109">
        <f>9324933355/48267347942</f>
        <v>0.19319340615534164</v>
      </c>
      <c r="AY161" s="190">
        <f>7856804523/50360937950</f>
        <v>0.15600989264339149</v>
      </c>
      <c r="AZ161" s="109">
        <f>+(3193940450+2279245040)/16653623173</f>
        <v>0.32864833274680461</v>
      </c>
      <c r="BA161" s="109">
        <f>(3432861399+2314792251)/15809613236</f>
        <v>0.3635543491293034</v>
      </c>
      <c r="BB161" s="109">
        <f>(3184901109+2238383038)/14907344245</f>
        <v>0.36379948419175989</v>
      </c>
      <c r="BC161" s="109">
        <f>(3132274591+1887634559)/13940566491</f>
        <v>0.36009362698717035</v>
      </c>
      <c r="BD161" s="190"/>
      <c r="BE161" s="109">
        <f>2068053495/13699847598</f>
        <v>0.15095448910701087</v>
      </c>
      <c r="BF161" s="109">
        <f>2229944914/13095067182</f>
        <v>0.17028892505913987</v>
      </c>
      <c r="BG161" s="109">
        <f>2457910079/13764710189</f>
        <v>0.17856606098138025</v>
      </c>
      <c r="BH161" s="109">
        <f>1890568295/13086951443</f>
        <v>0.14446208524837423</v>
      </c>
      <c r="BI161" s="109">
        <f>1591326950/12795928522</f>
        <v>0.12436197555058522</v>
      </c>
      <c r="BJ161" s="189">
        <f>3453534246/14404541952</f>
        <v>0.23975314574445691</v>
      </c>
      <c r="BK161" s="109">
        <f>3174446083/13341849170</f>
        <v>0.23793149229553162</v>
      </c>
      <c r="BL161" s="109">
        <f>1943714326/12406859925</f>
        <v>0.15666448543385164</v>
      </c>
      <c r="BM161" s="109">
        <f>1587525944/11686739754</f>
        <v>0.13583993289973281</v>
      </c>
      <c r="BN161" s="190">
        <f>1347534742/4743859134</f>
        <v>0.28405875974309652</v>
      </c>
    </row>
    <row r="162" spans="1:66" ht="36" x14ac:dyDescent="0.25">
      <c r="A162" s="46">
        <v>66</v>
      </c>
      <c r="B162" s="141" t="s">
        <v>318</v>
      </c>
      <c r="C162" s="47" t="s">
        <v>319</v>
      </c>
      <c r="D162" s="48"/>
      <c r="E162" s="48" t="s">
        <v>34</v>
      </c>
      <c r="F162" s="48" t="s">
        <v>248</v>
      </c>
      <c r="G162" s="48"/>
      <c r="H162" s="48" t="s">
        <v>36</v>
      </c>
      <c r="I162" s="47" t="s">
        <v>235</v>
      </c>
      <c r="J162" s="47" t="s">
        <v>236</v>
      </c>
      <c r="K162" s="47" t="s">
        <v>320</v>
      </c>
      <c r="L162" s="48" t="s">
        <v>321</v>
      </c>
      <c r="M162" s="48"/>
      <c r="N162" s="48" t="s">
        <v>41</v>
      </c>
      <c r="O162" s="48" t="s">
        <v>42</v>
      </c>
      <c r="P162" s="48"/>
      <c r="Q162" s="47" t="s">
        <v>286</v>
      </c>
      <c r="R162" s="47"/>
      <c r="S162" s="47" t="s">
        <v>250</v>
      </c>
      <c r="T162" s="33" t="s">
        <v>45</v>
      </c>
      <c r="U162" s="34" t="s">
        <v>45</v>
      </c>
      <c r="V162" s="33"/>
      <c r="W162" s="33"/>
      <c r="X162" s="35"/>
      <c r="Y162" s="33"/>
      <c r="Z162" s="49"/>
      <c r="AA162" s="171">
        <v>915793000</v>
      </c>
      <c r="AB162" s="172">
        <v>1649836000</v>
      </c>
      <c r="AC162" s="172">
        <v>913521000</v>
      </c>
      <c r="AD162" s="172">
        <v>864881000</v>
      </c>
      <c r="AE162" s="172">
        <v>0</v>
      </c>
      <c r="AF162" s="171">
        <v>419267207</v>
      </c>
      <c r="AG162" s="172">
        <v>775162390</v>
      </c>
      <c r="AH162" s="172">
        <v>570397687</v>
      </c>
      <c r="AI162" s="172">
        <v>811402855</v>
      </c>
      <c r="AJ162" s="173">
        <v>746049485</v>
      </c>
      <c r="AK162" s="191">
        <f>28679285000-28190924000</f>
        <v>488361000</v>
      </c>
      <c r="AL162" s="172">
        <f>27635438000-27363454000</f>
        <v>271984000</v>
      </c>
      <c r="AM162" s="172">
        <v>215170000</v>
      </c>
      <c r="AN162" s="191">
        <v>-2129894000</v>
      </c>
      <c r="AO162" s="191">
        <v>77872000</v>
      </c>
      <c r="AP162" s="171">
        <v>582927000</v>
      </c>
      <c r="AQ162" s="172">
        <v>838210000</v>
      </c>
      <c r="AR162" s="172">
        <v>785002000</v>
      </c>
      <c r="AS162" s="172">
        <v>1391343000</v>
      </c>
      <c r="AT162" s="192">
        <v>-402822000</v>
      </c>
      <c r="AU162" s="172">
        <v>945779833</v>
      </c>
      <c r="AV162" s="172">
        <v>1698064282</v>
      </c>
      <c r="AW162" s="172">
        <v>287293601</v>
      </c>
      <c r="AX162" s="191">
        <v>124656450</v>
      </c>
      <c r="AY162" s="192">
        <v>425487059</v>
      </c>
      <c r="AZ162" s="172">
        <v>422871940</v>
      </c>
      <c r="BA162" s="172">
        <v>452439734</v>
      </c>
      <c r="BB162" s="172">
        <v>936505608</v>
      </c>
      <c r="BC162" s="172">
        <v>81492541</v>
      </c>
      <c r="BD162" s="192">
        <v>822605000</v>
      </c>
      <c r="BE162" s="191">
        <v>-43152647</v>
      </c>
      <c r="BF162" s="172">
        <v>30555844</v>
      </c>
      <c r="BG162" s="172">
        <v>0</v>
      </c>
      <c r="BH162" s="172">
        <v>0</v>
      </c>
      <c r="BI162" s="191">
        <v>0</v>
      </c>
      <c r="BJ162" s="193">
        <v>-133595140</v>
      </c>
      <c r="BK162" s="172">
        <v>13655540</v>
      </c>
      <c r="BL162" s="172">
        <v>605365520</v>
      </c>
      <c r="BM162" s="191">
        <v>601510438</v>
      </c>
      <c r="BN162" s="192">
        <v>0</v>
      </c>
    </row>
    <row r="163" spans="1:66" ht="36" x14ac:dyDescent="0.25">
      <c r="A163" s="46">
        <v>67</v>
      </c>
      <c r="B163" s="141" t="s">
        <v>322</v>
      </c>
      <c r="C163" s="47" t="s">
        <v>323</v>
      </c>
      <c r="D163" s="48"/>
      <c r="E163" s="48" t="s">
        <v>34</v>
      </c>
      <c r="F163" s="48" t="s">
        <v>248</v>
      </c>
      <c r="G163" s="48"/>
      <c r="H163" s="48" t="s">
        <v>36</v>
      </c>
      <c r="I163" s="47" t="s">
        <v>235</v>
      </c>
      <c r="J163" s="47" t="s">
        <v>236</v>
      </c>
      <c r="K163" s="47" t="s">
        <v>43</v>
      </c>
      <c r="L163" s="48" t="s">
        <v>43</v>
      </c>
      <c r="M163" s="48"/>
      <c r="N163" s="48" t="s">
        <v>41</v>
      </c>
      <c r="O163" s="48" t="s">
        <v>42</v>
      </c>
      <c r="P163" s="48"/>
      <c r="Q163" s="47" t="s">
        <v>286</v>
      </c>
      <c r="R163" s="47"/>
      <c r="S163" s="47" t="s">
        <v>250</v>
      </c>
      <c r="T163" s="49" t="s">
        <v>45</v>
      </c>
      <c r="U163" s="33" t="s">
        <v>45</v>
      </c>
      <c r="V163" s="33"/>
      <c r="W163" s="33"/>
      <c r="X163" s="35"/>
      <c r="Y163" s="33"/>
      <c r="Z163" s="49"/>
      <c r="AA163" s="171">
        <v>16803000</v>
      </c>
      <c r="AB163" s="172">
        <v>4147000</v>
      </c>
      <c r="AC163" s="172">
        <v>1144000</v>
      </c>
      <c r="AD163" s="172">
        <v>2932000</v>
      </c>
      <c r="AE163" s="172">
        <v>1731000</v>
      </c>
      <c r="AF163" s="171">
        <v>329768</v>
      </c>
      <c r="AG163" s="172">
        <v>6678</v>
      </c>
      <c r="AH163" s="172">
        <f>15794261-4409212</f>
        <v>11385049</v>
      </c>
      <c r="AI163" s="172">
        <v>469472</v>
      </c>
      <c r="AJ163" s="173">
        <v>2288398</v>
      </c>
      <c r="AK163" s="172">
        <v>294000</v>
      </c>
      <c r="AL163" s="172">
        <v>0</v>
      </c>
      <c r="AM163" s="172">
        <v>0</v>
      </c>
      <c r="AN163" s="172">
        <v>731000</v>
      </c>
      <c r="AO163" s="172">
        <v>8000</v>
      </c>
      <c r="AP163" s="171">
        <v>27558000</v>
      </c>
      <c r="AQ163" s="172">
        <v>325271000</v>
      </c>
      <c r="AR163" s="172">
        <v>785002000</v>
      </c>
      <c r="AS163" s="172">
        <v>1327141000</v>
      </c>
      <c r="AT163" s="173">
        <v>532576000</v>
      </c>
      <c r="AU163" s="172">
        <v>770556</v>
      </c>
      <c r="AV163" s="172">
        <v>39113512</v>
      </c>
      <c r="AW163" s="172">
        <v>74760420</v>
      </c>
      <c r="AX163" s="172">
        <v>35731579</v>
      </c>
      <c r="AY163" s="173">
        <v>6706272</v>
      </c>
      <c r="AZ163" s="172">
        <v>3147050750</v>
      </c>
      <c r="BA163" s="172">
        <v>2654542418</v>
      </c>
      <c r="BB163" s="172">
        <v>557171342</v>
      </c>
      <c r="BC163" s="172">
        <v>69298697</v>
      </c>
      <c r="BD163" s="173">
        <v>66176181</v>
      </c>
      <c r="BE163" s="172">
        <v>400697</v>
      </c>
      <c r="BF163" s="172">
        <v>541057</v>
      </c>
      <c r="BG163" s="172">
        <v>1001316</v>
      </c>
      <c r="BH163" s="172">
        <v>1980224</v>
      </c>
      <c r="BI163" s="172">
        <v>199867</v>
      </c>
      <c r="BJ163" s="171">
        <v>148343</v>
      </c>
      <c r="BK163" s="172">
        <v>1176388</v>
      </c>
      <c r="BL163" s="172">
        <v>14450673</v>
      </c>
      <c r="BM163" s="172">
        <v>40953136</v>
      </c>
      <c r="BN163" s="173">
        <v>21326830</v>
      </c>
    </row>
    <row r="164" spans="1:66" s="44" customFormat="1" ht="59.25" customHeight="1" x14ac:dyDescent="0.25">
      <c r="A164" s="44">
        <v>68</v>
      </c>
      <c r="B164" s="150" t="s">
        <v>324</v>
      </c>
      <c r="C164" s="47" t="s">
        <v>325</v>
      </c>
      <c r="D164" s="61"/>
      <c r="E164" s="48" t="s">
        <v>326</v>
      </c>
      <c r="F164" s="194" t="s">
        <v>248</v>
      </c>
      <c r="G164" s="194"/>
      <c r="H164" s="137"/>
      <c r="I164" s="141" t="s">
        <v>327</v>
      </c>
      <c r="J164" s="137"/>
      <c r="K164" s="137"/>
      <c r="L164" s="137"/>
      <c r="M164" s="137"/>
      <c r="N164" s="141" t="s">
        <v>41</v>
      </c>
      <c r="O164" s="141" t="s">
        <v>328</v>
      </c>
      <c r="P164" s="137"/>
      <c r="Q164" s="137"/>
      <c r="R164" s="137"/>
      <c r="S164" s="47" t="s">
        <v>250</v>
      </c>
      <c r="T164" s="195"/>
      <c r="W164" s="196"/>
      <c r="Z164" s="195"/>
    </row>
    <row r="165" spans="1:66" s="44" customFormat="1" x14ac:dyDescent="0.25">
      <c r="B165" s="150" t="s">
        <v>329</v>
      </c>
      <c r="C165" s="150"/>
      <c r="D165" s="61"/>
      <c r="E165" s="61"/>
      <c r="F165" s="61"/>
      <c r="G165" s="61"/>
      <c r="H165" s="137"/>
      <c r="I165" s="137"/>
      <c r="J165" s="137"/>
      <c r="K165" s="137"/>
      <c r="L165" s="137"/>
      <c r="M165" s="137"/>
      <c r="N165" s="137"/>
      <c r="O165" s="137"/>
      <c r="P165" s="137"/>
      <c r="Q165" s="137"/>
      <c r="R165" s="137"/>
      <c r="S165" s="137"/>
      <c r="T165" s="195"/>
      <c r="W165" s="196"/>
      <c r="Z165" s="195"/>
      <c r="AA165" s="197" t="s">
        <v>330</v>
      </c>
      <c r="AB165" s="198" t="s">
        <v>331</v>
      </c>
      <c r="AC165" s="199" t="s">
        <v>297</v>
      </c>
      <c r="AD165" s="200" t="s">
        <v>332</v>
      </c>
      <c r="AE165" s="200" t="s">
        <v>333</v>
      </c>
      <c r="AF165" s="201" t="s">
        <v>334</v>
      </c>
      <c r="AG165" s="200" t="s">
        <v>109</v>
      </c>
      <c r="AH165" s="201" t="s">
        <v>335</v>
      </c>
      <c r="AI165" s="202" t="s">
        <v>336</v>
      </c>
    </row>
    <row r="166" spans="1:66" s="44" customFormat="1" x14ac:dyDescent="0.25">
      <c r="B166" s="150" t="s">
        <v>337</v>
      </c>
      <c r="C166" s="150"/>
      <c r="D166" s="61"/>
      <c r="E166" s="61"/>
      <c r="F166" s="61"/>
      <c r="G166" s="61"/>
      <c r="H166" s="137"/>
      <c r="I166" s="137"/>
      <c r="J166" s="137"/>
      <c r="K166" s="137"/>
      <c r="L166" s="137"/>
      <c r="M166" s="137"/>
      <c r="N166" s="137"/>
      <c r="O166" s="137"/>
      <c r="P166" s="137"/>
      <c r="Q166" s="137"/>
      <c r="R166" s="137"/>
      <c r="S166" s="137"/>
      <c r="T166" s="195"/>
      <c r="W166" s="196"/>
      <c r="Z166" s="195"/>
      <c r="AA166" s="27">
        <v>5888504</v>
      </c>
      <c r="AB166" s="27">
        <v>79244</v>
      </c>
      <c r="AC166" s="27">
        <v>1702638</v>
      </c>
      <c r="AD166" s="6">
        <v>477332</v>
      </c>
      <c r="AE166" s="6">
        <v>6265894</v>
      </c>
      <c r="AF166" s="6">
        <v>6265894</v>
      </c>
      <c r="AG166" s="6">
        <v>20477051</v>
      </c>
      <c r="AI166" s="203">
        <v>2.3300000000000001E-2</v>
      </c>
    </row>
    <row r="167" spans="1:66" s="44" customFormat="1" x14ac:dyDescent="0.25">
      <c r="B167" s="150" t="s">
        <v>338</v>
      </c>
      <c r="C167" s="150"/>
      <c r="D167" s="61"/>
      <c r="E167" s="61"/>
      <c r="F167" s="61"/>
      <c r="G167" s="61"/>
      <c r="H167" s="137"/>
      <c r="I167" s="137"/>
      <c r="J167" s="137"/>
      <c r="K167" s="137"/>
      <c r="L167" s="137"/>
      <c r="M167" s="137"/>
      <c r="N167" s="137"/>
      <c r="O167" s="137"/>
      <c r="P167" s="137"/>
      <c r="Q167" s="137"/>
      <c r="R167" s="137"/>
      <c r="S167" s="137"/>
      <c r="T167" s="195"/>
      <c r="W167" s="196"/>
      <c r="Z167" s="195"/>
      <c r="AA167" s="27">
        <v>7093194</v>
      </c>
      <c r="AB167" s="27">
        <v>108648</v>
      </c>
      <c r="AC167" s="27">
        <v>2855328</v>
      </c>
      <c r="AD167" s="27">
        <v>908284</v>
      </c>
      <c r="AE167" s="27">
        <v>10624086</v>
      </c>
      <c r="AF167" s="27">
        <v>6425826</v>
      </c>
      <c r="AG167" s="27">
        <v>28015401</v>
      </c>
      <c r="AH167" s="203">
        <v>6.5000000000000002E-2</v>
      </c>
      <c r="AI167" s="203">
        <v>3.2399999999999998E-2</v>
      </c>
    </row>
    <row r="168" spans="1:66" x14ac:dyDescent="0.25">
      <c r="B168" s="204" t="s">
        <v>339</v>
      </c>
      <c r="C168" s="204"/>
      <c r="D168" s="61"/>
      <c r="E168" s="61"/>
      <c r="F168" s="61"/>
      <c r="G168" s="61"/>
      <c r="H168" s="137"/>
      <c r="I168" s="137"/>
      <c r="J168" s="137"/>
      <c r="K168" s="137"/>
      <c r="L168" s="137"/>
      <c r="M168" s="137"/>
      <c r="N168" s="137"/>
      <c r="O168" s="137"/>
      <c r="P168" s="137"/>
      <c r="Q168" s="137"/>
      <c r="R168" s="137"/>
      <c r="S168" s="137"/>
      <c r="T168" s="195"/>
      <c r="W168" s="196"/>
      <c r="Z168" s="195"/>
      <c r="AA168" s="137"/>
    </row>
    <row r="169" spans="1:66" x14ac:dyDescent="0.25">
      <c r="B169" s="150" t="s">
        <v>337</v>
      </c>
      <c r="C169" s="204"/>
      <c r="D169" s="61"/>
      <c r="E169" s="61"/>
      <c r="F169" s="61"/>
      <c r="G169" s="61"/>
      <c r="H169" s="137"/>
      <c r="I169" s="137"/>
      <c r="J169" s="137"/>
      <c r="K169" s="137"/>
      <c r="L169" s="137"/>
      <c r="M169" s="137"/>
      <c r="N169" s="137"/>
      <c r="O169" s="137"/>
      <c r="P169" s="137"/>
      <c r="Q169" s="137"/>
      <c r="R169" s="137"/>
      <c r="S169" s="137"/>
      <c r="T169" s="195"/>
      <c r="W169" s="196"/>
      <c r="Z169" s="195"/>
      <c r="AA169" s="141">
        <v>5237528</v>
      </c>
      <c r="AB169" s="27">
        <v>91329</v>
      </c>
      <c r="AC169" s="27">
        <v>1042132</v>
      </c>
      <c r="AD169" s="27">
        <v>795698</v>
      </c>
      <c r="AE169" s="44">
        <v>3322067</v>
      </c>
      <c r="AF169" s="27">
        <v>3322067</v>
      </c>
      <c r="AG169" s="27">
        <v>14692773</v>
      </c>
      <c r="AH169" s="205"/>
      <c r="AI169" s="205">
        <v>5.3999999999999999E-2</v>
      </c>
    </row>
    <row r="170" spans="1:66" x14ac:dyDescent="0.25">
      <c r="B170" s="150" t="s">
        <v>338</v>
      </c>
      <c r="C170" s="204"/>
      <c r="D170" s="61"/>
      <c r="E170" s="61"/>
      <c r="F170" s="61"/>
      <c r="G170" s="61"/>
      <c r="H170" s="137"/>
      <c r="I170" s="137"/>
      <c r="J170" s="137"/>
      <c r="K170" s="137"/>
      <c r="L170" s="137"/>
      <c r="M170" s="137"/>
      <c r="N170" s="137"/>
      <c r="O170" s="137"/>
      <c r="P170" s="137"/>
      <c r="Q170" s="137"/>
      <c r="R170" s="137"/>
      <c r="S170" s="137"/>
      <c r="T170" s="195"/>
      <c r="W170" s="196"/>
      <c r="Z170" s="195"/>
      <c r="AA170" s="141">
        <v>7829746</v>
      </c>
      <c r="AB170" s="27">
        <v>108246</v>
      </c>
      <c r="AC170" s="27">
        <v>1196234</v>
      </c>
      <c r="AD170" s="27">
        <v>0</v>
      </c>
      <c r="AE170" s="27">
        <v>5938047</v>
      </c>
      <c r="AF170" s="27">
        <v>6527650</v>
      </c>
      <c r="AG170" s="27">
        <v>21599923</v>
      </c>
      <c r="AH170" s="205">
        <v>0.08</v>
      </c>
    </row>
    <row r="171" spans="1:66" x14ac:dyDescent="0.25">
      <c r="B171" s="204" t="s">
        <v>340</v>
      </c>
      <c r="C171" s="204"/>
      <c r="D171" s="61"/>
      <c r="E171" s="61"/>
      <c r="F171" s="61"/>
      <c r="G171" s="61"/>
      <c r="H171" s="137"/>
      <c r="I171" s="137"/>
      <c r="J171" s="137"/>
      <c r="K171" s="137"/>
      <c r="L171" s="137"/>
      <c r="M171" s="137"/>
      <c r="N171" s="137"/>
      <c r="O171" s="137"/>
      <c r="P171" s="137"/>
      <c r="Q171" s="137"/>
      <c r="R171" s="137"/>
      <c r="S171" s="137"/>
      <c r="T171" s="195"/>
      <c r="W171" s="196"/>
      <c r="Z171" s="195"/>
      <c r="AA171" s="137"/>
      <c r="AD171" s="138"/>
    </row>
    <row r="172" spans="1:66" x14ac:dyDescent="0.25">
      <c r="B172" s="150" t="s">
        <v>337</v>
      </c>
      <c r="C172" s="204"/>
      <c r="D172" s="61"/>
      <c r="E172" s="61"/>
      <c r="F172" s="61"/>
      <c r="G172" s="61"/>
      <c r="H172" s="137"/>
      <c r="I172" s="137"/>
      <c r="J172" s="137"/>
      <c r="K172" s="137"/>
      <c r="L172" s="137"/>
      <c r="M172" s="137"/>
      <c r="N172" s="137"/>
      <c r="O172" s="137"/>
      <c r="P172" s="137"/>
      <c r="Q172" s="137"/>
      <c r="R172" s="137"/>
      <c r="S172" s="137"/>
      <c r="T172" s="195"/>
      <c r="W172" s="196"/>
      <c r="Z172" s="195"/>
      <c r="AA172" s="141">
        <v>4719555</v>
      </c>
      <c r="AB172" s="27">
        <v>80415</v>
      </c>
      <c r="AC172" s="27">
        <v>549276</v>
      </c>
      <c r="AD172" s="27">
        <v>1731035</v>
      </c>
      <c r="AE172" s="27">
        <v>4212084</v>
      </c>
      <c r="AF172" s="27">
        <v>4212084</v>
      </c>
      <c r="AG172" s="27">
        <v>14802600</v>
      </c>
      <c r="AI172" s="205">
        <v>0.11700000000000001</v>
      </c>
    </row>
    <row r="173" spans="1:66" x14ac:dyDescent="0.25">
      <c r="B173" s="150" t="s">
        <v>338</v>
      </c>
      <c r="C173" s="204"/>
      <c r="D173" s="61"/>
      <c r="E173" s="61"/>
      <c r="F173" s="61"/>
      <c r="G173" s="61"/>
      <c r="H173" s="137"/>
      <c r="I173" s="137"/>
      <c r="J173" s="137"/>
      <c r="K173" s="137"/>
      <c r="L173" s="137"/>
      <c r="M173" s="137"/>
      <c r="N173" s="137"/>
      <c r="O173" s="137"/>
      <c r="P173" s="137"/>
      <c r="Q173" s="137"/>
      <c r="R173" s="137"/>
      <c r="S173" s="137"/>
      <c r="T173" s="195"/>
      <c r="W173" s="196"/>
      <c r="Z173" s="195"/>
      <c r="AA173" s="141">
        <v>6210567</v>
      </c>
      <c r="AB173" s="27">
        <v>85334</v>
      </c>
      <c r="AC173" s="27">
        <v>1458312</v>
      </c>
      <c r="AD173" s="27">
        <v>1819030</v>
      </c>
      <c r="AE173" s="27">
        <v>7062692</v>
      </c>
      <c r="AF173" s="27">
        <v>3077080</v>
      </c>
      <c r="AG173" s="27">
        <v>19713014</v>
      </c>
      <c r="AH173" s="205">
        <v>5.8999999999999997E-2</v>
      </c>
      <c r="AI173" s="205">
        <v>9.2299999999999993E-2</v>
      </c>
    </row>
    <row r="174" spans="1:66" x14ac:dyDescent="0.25">
      <c r="B174" s="150" t="s">
        <v>341</v>
      </c>
      <c r="C174" s="204"/>
      <c r="D174" s="61"/>
      <c r="E174" s="61"/>
      <c r="F174" s="61"/>
      <c r="G174" s="61"/>
      <c r="H174" s="137"/>
      <c r="I174" s="137"/>
      <c r="J174" s="137"/>
      <c r="K174" s="137"/>
      <c r="L174" s="137"/>
      <c r="M174" s="137"/>
      <c r="N174" s="137"/>
      <c r="O174" s="137"/>
      <c r="P174" s="137"/>
      <c r="Q174" s="137"/>
      <c r="R174" s="137"/>
      <c r="S174" s="137"/>
      <c r="T174" s="195"/>
      <c r="W174" s="196"/>
      <c r="Z174" s="195"/>
      <c r="AA174" s="137"/>
    </row>
    <row r="175" spans="1:66" x14ac:dyDescent="0.25">
      <c r="B175" s="150" t="s">
        <v>337</v>
      </c>
      <c r="C175" s="204"/>
      <c r="D175" s="61"/>
      <c r="E175" s="61"/>
      <c r="F175" s="61"/>
      <c r="G175" s="61"/>
      <c r="H175" s="137"/>
      <c r="I175" s="137"/>
      <c r="J175" s="137"/>
      <c r="K175" s="137"/>
      <c r="L175" s="137"/>
      <c r="M175" s="137"/>
      <c r="N175" s="137"/>
      <c r="O175" s="137"/>
      <c r="P175" s="137"/>
      <c r="Q175" s="137"/>
      <c r="R175" s="137"/>
      <c r="S175" s="137"/>
      <c r="T175" s="195"/>
      <c r="W175" s="196"/>
      <c r="Z175" s="195"/>
      <c r="AA175" s="141">
        <v>3534009</v>
      </c>
      <c r="AB175" s="138">
        <v>63886</v>
      </c>
      <c r="AC175" s="27">
        <v>504671</v>
      </c>
      <c r="AD175" s="27">
        <v>129371</v>
      </c>
      <c r="AE175" s="27">
        <v>3272489</v>
      </c>
      <c r="AF175" s="27">
        <v>3272489</v>
      </c>
      <c r="AG175" s="27">
        <v>11735247</v>
      </c>
      <c r="AI175" s="205">
        <v>1.0999999999999999E-2</v>
      </c>
    </row>
    <row r="176" spans="1:66" x14ac:dyDescent="0.25">
      <c r="B176" s="150" t="s">
        <v>338</v>
      </c>
      <c r="C176" s="204"/>
      <c r="D176" s="61"/>
      <c r="E176" s="61"/>
      <c r="F176" s="61"/>
      <c r="G176" s="61"/>
      <c r="H176" s="137"/>
      <c r="I176" s="137"/>
      <c r="J176" s="137"/>
      <c r="K176" s="137"/>
      <c r="L176" s="137"/>
      <c r="M176" s="137"/>
      <c r="N176" s="137"/>
      <c r="O176" s="137"/>
      <c r="P176" s="137"/>
      <c r="Q176" s="137"/>
      <c r="R176" s="137"/>
      <c r="S176" s="137"/>
      <c r="T176" s="195"/>
      <c r="W176" s="196"/>
      <c r="Z176" s="195"/>
      <c r="AA176" s="141">
        <v>5482870</v>
      </c>
      <c r="AB176" s="52">
        <v>87196</v>
      </c>
      <c r="AC176" s="27">
        <v>1261823</v>
      </c>
      <c r="AD176" s="27">
        <v>1175811</v>
      </c>
      <c r="AE176" s="27">
        <v>6331958</v>
      </c>
      <c r="AF176" s="27">
        <v>3845428</v>
      </c>
      <c r="AG176" s="27">
        <v>18185086</v>
      </c>
      <c r="AH176" s="205">
        <v>9.1999999999999998E-2</v>
      </c>
      <c r="AI176" s="205">
        <v>6.5000000000000002E-2</v>
      </c>
    </row>
    <row r="177" spans="1:35" x14ac:dyDescent="0.25">
      <c r="B177" s="150" t="s">
        <v>342</v>
      </c>
      <c r="C177" s="204"/>
      <c r="D177" s="61"/>
      <c r="E177" s="61"/>
      <c r="F177" s="61"/>
      <c r="G177" s="61"/>
      <c r="H177" s="137"/>
      <c r="I177" s="137"/>
      <c r="J177" s="137"/>
      <c r="K177" s="137"/>
      <c r="L177" s="137"/>
      <c r="M177" s="137"/>
      <c r="N177" s="137"/>
      <c r="O177" s="137"/>
      <c r="P177" s="137"/>
      <c r="Q177" s="137"/>
      <c r="R177" s="137"/>
      <c r="S177" s="137"/>
      <c r="T177" s="195"/>
      <c r="W177" s="196"/>
      <c r="Z177" s="195"/>
      <c r="AB177" s="206"/>
    </row>
    <row r="178" spans="1:35" x14ac:dyDescent="0.25">
      <c r="B178" s="150" t="s">
        <v>337</v>
      </c>
      <c r="C178" s="204"/>
      <c r="D178" s="61"/>
      <c r="E178" s="61"/>
      <c r="F178" s="61"/>
      <c r="G178" s="61"/>
      <c r="H178" s="137"/>
      <c r="I178" s="137"/>
      <c r="J178" s="137"/>
      <c r="K178" s="137"/>
      <c r="L178" s="137"/>
      <c r="M178" s="137"/>
      <c r="N178" s="137"/>
      <c r="O178" s="137"/>
      <c r="P178" s="137"/>
      <c r="Q178" s="137"/>
      <c r="R178" s="137"/>
      <c r="S178" s="137"/>
      <c r="T178" s="195"/>
      <c r="W178" s="196"/>
      <c r="Z178" s="195"/>
      <c r="AA178" s="141">
        <v>3979894</v>
      </c>
      <c r="AB178" s="52">
        <v>67771</v>
      </c>
      <c r="AC178" s="27">
        <v>1677713</v>
      </c>
      <c r="AD178" s="27">
        <v>1223314</v>
      </c>
      <c r="AE178" s="27">
        <v>4757647</v>
      </c>
      <c r="AF178" s="27">
        <v>4757647</v>
      </c>
      <c r="AG178" s="27">
        <v>13413021</v>
      </c>
      <c r="AI178" s="205">
        <v>9.1200000000000003E-2</v>
      </c>
    </row>
    <row r="179" spans="1:35" x14ac:dyDescent="0.25">
      <c r="B179" s="150" t="s">
        <v>338</v>
      </c>
      <c r="C179" s="204"/>
      <c r="D179" s="61"/>
      <c r="E179" s="61"/>
      <c r="F179" s="61"/>
      <c r="G179" s="61"/>
      <c r="H179" s="137"/>
      <c r="I179" s="137"/>
      <c r="J179" s="137"/>
      <c r="K179" s="137"/>
      <c r="L179" s="137"/>
      <c r="M179" s="137"/>
      <c r="N179" s="137"/>
      <c r="O179" s="137"/>
      <c r="P179" s="137"/>
      <c r="Q179" s="137"/>
      <c r="R179" s="137"/>
      <c r="S179" s="137"/>
      <c r="T179" s="195"/>
      <c r="W179" s="196"/>
      <c r="Z179" s="195"/>
      <c r="AA179" s="141">
        <v>5074158</v>
      </c>
      <c r="AB179" s="52">
        <v>84812</v>
      </c>
      <c r="AC179" s="27">
        <v>1211729</v>
      </c>
      <c r="AD179" s="27">
        <v>1230742</v>
      </c>
      <c r="AE179" s="27">
        <v>8191636</v>
      </c>
      <c r="AF179" s="27">
        <v>2551403</v>
      </c>
      <c r="AG179" s="27">
        <v>18344479</v>
      </c>
      <c r="AH179" s="205">
        <v>6.5000000000000002E-2</v>
      </c>
      <c r="AI179" s="205">
        <v>6.7000000000000004E-2</v>
      </c>
    </row>
    <row r="180" spans="1:35" s="1" customFormat="1" x14ac:dyDescent="0.25">
      <c r="B180" s="86" t="s">
        <v>343</v>
      </c>
      <c r="C180" s="207"/>
      <c r="D180" s="61"/>
      <c r="E180" s="61"/>
      <c r="F180" s="61"/>
      <c r="G180" s="61"/>
      <c r="H180" s="137"/>
      <c r="I180" s="137"/>
      <c r="J180" s="137"/>
      <c r="K180" s="137"/>
      <c r="L180" s="137"/>
      <c r="M180" s="137"/>
      <c r="N180" s="137"/>
      <c r="O180" s="137"/>
      <c r="P180" s="137"/>
      <c r="Q180" s="137"/>
      <c r="R180" s="137"/>
      <c r="S180" s="137"/>
      <c r="T180" s="208"/>
      <c r="W180" s="209"/>
      <c r="Z180" s="208"/>
      <c r="AB180" s="210"/>
    </row>
    <row r="181" spans="1:35" x14ac:dyDescent="0.25">
      <c r="B181" s="150" t="s">
        <v>337</v>
      </c>
      <c r="C181" s="204"/>
      <c r="D181" s="61"/>
      <c r="E181" s="61"/>
      <c r="F181" s="61"/>
      <c r="G181" s="61"/>
      <c r="H181" s="137"/>
      <c r="I181" s="137"/>
      <c r="J181" s="137"/>
      <c r="K181" s="137"/>
      <c r="L181" s="137"/>
      <c r="M181" s="137"/>
      <c r="N181" s="137"/>
      <c r="O181" s="137"/>
      <c r="P181" s="137"/>
      <c r="Q181" s="137"/>
      <c r="R181" s="137"/>
      <c r="S181" s="137"/>
      <c r="T181" s="195"/>
      <c r="W181" s="196"/>
      <c r="Z181" s="195"/>
      <c r="AA181" s="141">
        <v>1478388</v>
      </c>
      <c r="AB181" s="52">
        <v>47617</v>
      </c>
      <c r="AC181" s="27">
        <v>202620</v>
      </c>
      <c r="AD181" s="27">
        <v>440463</v>
      </c>
      <c r="AE181" s="27">
        <v>1087068</v>
      </c>
      <c r="AF181" s="27">
        <v>1087068</v>
      </c>
      <c r="AG181" s="27">
        <v>4386143</v>
      </c>
      <c r="AI181" s="211">
        <v>0.1</v>
      </c>
    </row>
    <row r="182" spans="1:35" x14ac:dyDescent="0.25">
      <c r="B182" s="150" t="s">
        <v>338</v>
      </c>
      <c r="C182" s="204"/>
      <c r="D182" s="61"/>
      <c r="E182" s="61"/>
      <c r="F182" s="61"/>
      <c r="G182" s="61"/>
      <c r="H182" s="137"/>
      <c r="I182" s="137"/>
      <c r="J182" s="137"/>
      <c r="K182" s="137"/>
      <c r="L182" s="137"/>
      <c r="M182" s="137"/>
      <c r="N182" s="137"/>
      <c r="O182" s="137"/>
      <c r="P182" s="137"/>
      <c r="Q182" s="137"/>
      <c r="R182" s="137"/>
      <c r="S182" s="137"/>
      <c r="T182" s="195"/>
      <c r="W182" s="196"/>
      <c r="Z182" s="195"/>
      <c r="AA182" s="141">
        <v>1586866</v>
      </c>
      <c r="AB182" s="52">
        <v>50065</v>
      </c>
      <c r="AC182" s="27">
        <v>4180871</v>
      </c>
      <c r="AD182" s="27">
        <v>441237</v>
      </c>
      <c r="AE182" s="27">
        <v>2028431</v>
      </c>
      <c r="AF182" s="27">
        <v>1514579</v>
      </c>
      <c r="AG182" s="27">
        <v>5802049</v>
      </c>
      <c r="AH182" s="205">
        <v>5.8000000000000003E-2</v>
      </c>
      <c r="AI182" s="205">
        <v>7.5999999999999998E-2</v>
      </c>
    </row>
    <row r="183" spans="1:35" s="1" customFormat="1" x14ac:dyDescent="0.25">
      <c r="B183" s="86" t="s">
        <v>344</v>
      </c>
      <c r="C183" s="207"/>
      <c r="D183" s="61"/>
      <c r="E183" s="61"/>
      <c r="F183" s="61"/>
      <c r="G183" s="61"/>
      <c r="H183" s="137"/>
      <c r="I183" s="137"/>
      <c r="J183" s="137"/>
      <c r="K183" s="137"/>
      <c r="L183" s="137"/>
      <c r="M183" s="137"/>
      <c r="N183" s="137"/>
      <c r="O183" s="137"/>
      <c r="P183" s="137"/>
      <c r="Q183" s="137"/>
      <c r="R183" s="137"/>
      <c r="S183" s="137"/>
      <c r="T183" s="208"/>
      <c r="W183" s="209"/>
      <c r="Z183" s="208"/>
      <c r="AB183" s="52"/>
    </row>
    <row r="184" spans="1:35" x14ac:dyDescent="0.25">
      <c r="B184" s="150" t="s">
        <v>337</v>
      </c>
      <c r="C184" s="204"/>
      <c r="D184" s="61"/>
      <c r="E184" s="61"/>
      <c r="F184" s="61"/>
      <c r="G184" s="61"/>
      <c r="H184" s="137"/>
      <c r="I184" s="137"/>
      <c r="J184" s="137"/>
      <c r="K184" s="137"/>
      <c r="L184" s="137"/>
      <c r="M184" s="137"/>
      <c r="N184" s="137"/>
      <c r="O184" s="137"/>
      <c r="P184" s="137"/>
      <c r="Q184" s="137"/>
      <c r="R184" s="137"/>
      <c r="S184" s="137"/>
      <c r="T184" s="195"/>
      <c r="W184" s="196"/>
      <c r="Z184" s="195"/>
      <c r="AA184" s="141">
        <v>680617</v>
      </c>
      <c r="AB184" s="52">
        <v>23822</v>
      </c>
      <c r="AC184" s="27">
        <v>213414</v>
      </c>
      <c r="AD184" s="27">
        <v>156285</v>
      </c>
      <c r="AE184" s="27">
        <v>708828</v>
      </c>
      <c r="AF184" s="27">
        <v>708828</v>
      </c>
      <c r="AG184" s="27">
        <v>2101137</v>
      </c>
      <c r="AI184" s="205">
        <v>7.3999999999999996E-2</v>
      </c>
    </row>
    <row r="185" spans="1:35" x14ac:dyDescent="0.25">
      <c r="B185" s="150" t="s">
        <v>338</v>
      </c>
      <c r="C185" s="204"/>
      <c r="D185" s="61"/>
      <c r="E185" s="61"/>
      <c r="F185" s="61"/>
      <c r="G185" s="61"/>
      <c r="H185" s="137"/>
      <c r="I185" s="137"/>
      <c r="J185" s="137"/>
      <c r="K185" s="137"/>
      <c r="L185" s="137"/>
      <c r="M185" s="137"/>
      <c r="N185" s="137"/>
      <c r="O185" s="137"/>
      <c r="P185" s="137"/>
      <c r="Q185" s="137"/>
      <c r="R185" s="137"/>
      <c r="S185" s="137"/>
      <c r="T185" s="195"/>
      <c r="W185" s="196"/>
      <c r="Z185" s="195"/>
      <c r="AA185" s="141">
        <v>995955</v>
      </c>
      <c r="AB185" s="52">
        <v>42438</v>
      </c>
      <c r="AC185" s="27">
        <v>535646</v>
      </c>
      <c r="AD185" s="27">
        <v>238723</v>
      </c>
      <c r="AE185" s="27">
        <v>1339679</v>
      </c>
      <c r="AF185" s="27">
        <v>679835</v>
      </c>
      <c r="AG185" s="27">
        <v>3832277</v>
      </c>
      <c r="AH185" s="205">
        <v>0.128</v>
      </c>
      <c r="AI185" s="205">
        <v>6.2E-2</v>
      </c>
    </row>
    <row r="186" spans="1:35" s="1" customFormat="1" x14ac:dyDescent="0.25">
      <c r="B186" s="86" t="s">
        <v>345</v>
      </c>
      <c r="C186" s="207"/>
      <c r="D186" s="61"/>
      <c r="E186" s="61"/>
      <c r="F186" s="61"/>
      <c r="G186" s="61"/>
      <c r="H186" s="137"/>
      <c r="I186" s="137"/>
      <c r="J186" s="137"/>
      <c r="K186" s="137"/>
      <c r="L186" s="137"/>
      <c r="M186" s="137"/>
      <c r="N186" s="137"/>
      <c r="O186" s="137"/>
      <c r="P186" s="137"/>
      <c r="Q186" s="137"/>
      <c r="R186" s="137"/>
      <c r="S186" s="137"/>
      <c r="T186" s="208"/>
      <c r="W186" s="209"/>
      <c r="Z186" s="208"/>
      <c r="AB186" s="52"/>
    </row>
    <row r="187" spans="1:35" x14ac:dyDescent="0.25">
      <c r="B187" s="150" t="s">
        <v>337</v>
      </c>
      <c r="C187" s="204"/>
      <c r="D187" s="61"/>
      <c r="E187" s="61"/>
      <c r="F187" s="61"/>
      <c r="G187" s="61"/>
      <c r="H187" s="137"/>
      <c r="I187" s="137"/>
      <c r="J187" s="137"/>
      <c r="K187" s="137"/>
      <c r="L187" s="137"/>
      <c r="M187" s="137"/>
      <c r="N187" s="137"/>
      <c r="O187" s="137"/>
      <c r="P187" s="137"/>
      <c r="Q187" s="137"/>
      <c r="R187" s="137"/>
      <c r="S187" s="137"/>
      <c r="T187" s="195"/>
      <c r="W187" s="196"/>
      <c r="Z187" s="195"/>
      <c r="AA187" s="141">
        <v>772764</v>
      </c>
      <c r="AB187" s="52">
        <v>22344</v>
      </c>
      <c r="AC187" s="27">
        <v>159406</v>
      </c>
      <c r="AD187" s="27">
        <v>134805</v>
      </c>
      <c r="AE187" s="27">
        <v>538722</v>
      </c>
      <c r="AF187" s="27">
        <v>538722</v>
      </c>
      <c r="AG187" s="27">
        <v>2252013</v>
      </c>
      <c r="AI187" s="211">
        <v>0.06</v>
      </c>
    </row>
    <row r="188" spans="1:35" x14ac:dyDescent="0.25">
      <c r="B188" s="150" t="s">
        <v>338</v>
      </c>
      <c r="C188" s="204"/>
      <c r="D188" s="61"/>
      <c r="E188" s="61"/>
      <c r="F188" s="61"/>
      <c r="G188" s="61"/>
      <c r="H188" s="137"/>
      <c r="I188" s="137"/>
      <c r="J188" s="137"/>
      <c r="K188" s="137"/>
      <c r="L188" s="137"/>
      <c r="M188" s="137"/>
      <c r="N188" s="137"/>
      <c r="O188" s="137"/>
      <c r="P188" s="137"/>
      <c r="Q188" s="137"/>
      <c r="R188" s="137"/>
      <c r="S188" s="137"/>
      <c r="T188" s="195"/>
      <c r="W188" s="196"/>
      <c r="Z188" s="195"/>
      <c r="AA188" s="141">
        <v>1017338</v>
      </c>
      <c r="AB188" s="52">
        <v>40776</v>
      </c>
      <c r="AC188" s="27">
        <v>217126</v>
      </c>
      <c r="AD188" s="27">
        <v>257370</v>
      </c>
      <c r="AE188" s="27">
        <v>1000418</v>
      </c>
      <c r="AF188" s="27">
        <v>906669</v>
      </c>
      <c r="AG188" s="27">
        <v>3439697</v>
      </c>
      <c r="AH188" s="205">
        <v>8.7999999999999995E-2</v>
      </c>
      <c r="AI188" s="205">
        <v>7.4999999999999997E-2</v>
      </c>
    </row>
    <row r="189" spans="1:35" s="1" customFormat="1" x14ac:dyDescent="0.25">
      <c r="B189" s="48" t="s">
        <v>346</v>
      </c>
      <c r="C189" s="207"/>
      <c r="D189" s="61"/>
      <c r="E189" s="61"/>
      <c r="F189" s="61"/>
      <c r="G189" s="61"/>
      <c r="H189" s="137"/>
      <c r="I189" s="137"/>
      <c r="J189" s="137"/>
      <c r="K189" s="137"/>
      <c r="L189" s="137"/>
      <c r="M189" s="137"/>
      <c r="N189" s="137"/>
      <c r="O189" s="137"/>
      <c r="P189" s="137"/>
      <c r="Q189" s="137"/>
      <c r="R189" s="137"/>
      <c r="S189" s="137"/>
      <c r="T189" s="208"/>
      <c r="W189" s="209"/>
      <c r="Z189" s="208"/>
      <c r="AB189" s="206"/>
    </row>
    <row r="190" spans="1:35" x14ac:dyDescent="0.25">
      <c r="B190" s="150" t="s">
        <v>337</v>
      </c>
      <c r="C190" s="204"/>
      <c r="D190" s="61"/>
      <c r="E190" s="61"/>
      <c r="F190" s="61"/>
      <c r="G190" s="61"/>
      <c r="H190" s="137"/>
      <c r="I190" s="137"/>
      <c r="J190" s="137"/>
      <c r="K190" s="137"/>
      <c r="L190" s="137"/>
      <c r="M190" s="137"/>
      <c r="N190" s="137"/>
      <c r="O190" s="137"/>
      <c r="P190" s="137"/>
      <c r="Q190" s="137"/>
      <c r="R190" s="137"/>
      <c r="S190" s="137"/>
      <c r="T190" s="195"/>
      <c r="W190" s="196"/>
      <c r="Z190" s="195"/>
      <c r="AA190" s="141">
        <v>672205</v>
      </c>
      <c r="AB190" s="52">
        <v>22120</v>
      </c>
      <c r="AC190" s="27">
        <v>11542</v>
      </c>
      <c r="AD190" s="27">
        <v>89951</v>
      </c>
      <c r="AE190" s="27">
        <v>734965</v>
      </c>
      <c r="AF190" s="27">
        <v>734965</v>
      </c>
      <c r="AG190" s="27">
        <v>2230635</v>
      </c>
      <c r="AI190" s="211">
        <v>0.04</v>
      </c>
    </row>
    <row r="191" spans="1:35" x14ac:dyDescent="0.25">
      <c r="B191" s="150" t="s">
        <v>338</v>
      </c>
      <c r="C191" s="204"/>
      <c r="D191" s="61"/>
      <c r="E191" s="61"/>
      <c r="F191" s="61"/>
      <c r="G191" s="61"/>
      <c r="H191" s="137"/>
      <c r="I191" s="137"/>
      <c r="J191" s="137"/>
      <c r="K191" s="137"/>
      <c r="L191" s="137"/>
      <c r="M191" s="137"/>
      <c r="N191" s="137"/>
      <c r="O191" s="137"/>
      <c r="P191" s="137"/>
      <c r="Q191" s="137"/>
      <c r="R191" s="137"/>
      <c r="S191" s="137"/>
      <c r="T191" s="195"/>
      <c r="W191" s="196"/>
      <c r="Z191" s="195"/>
      <c r="AA191" s="141">
        <v>671160</v>
      </c>
      <c r="AB191" s="52">
        <v>33423</v>
      </c>
      <c r="AC191" s="27">
        <v>101513</v>
      </c>
      <c r="AD191" s="27">
        <v>125425</v>
      </c>
      <c r="AE191" s="27">
        <v>1309371</v>
      </c>
      <c r="AF191" s="27">
        <v>532759</v>
      </c>
      <c r="AG191" s="27">
        <v>2773650</v>
      </c>
      <c r="AI191" s="205">
        <v>4.4999999999999998E-2</v>
      </c>
    </row>
    <row r="192" spans="1:35" ht="79.5" customHeight="1" x14ac:dyDescent="0.25">
      <c r="A192" s="27">
        <v>69</v>
      </c>
      <c r="B192" s="141" t="s">
        <v>347</v>
      </c>
      <c r="C192" s="212" t="s">
        <v>348</v>
      </c>
      <c r="D192" s="137"/>
      <c r="E192" s="137"/>
      <c r="F192" s="137"/>
      <c r="G192" s="137"/>
      <c r="H192" s="137"/>
      <c r="I192" s="27" t="s">
        <v>349</v>
      </c>
      <c r="J192" s="137"/>
      <c r="K192" s="137"/>
      <c r="L192" s="137"/>
      <c r="M192" s="137"/>
      <c r="N192" s="137"/>
      <c r="O192" s="137"/>
      <c r="P192" s="137"/>
      <c r="Q192" s="137"/>
      <c r="R192" s="137"/>
      <c r="S192" s="137"/>
      <c r="T192" s="195"/>
      <c r="W192" s="196"/>
      <c r="Z192" s="44"/>
      <c r="AA192" s="213" t="s">
        <v>350</v>
      </c>
      <c r="AB192" s="198" t="s">
        <v>351</v>
      </c>
      <c r="AC192" s="214" t="s">
        <v>352</v>
      </c>
      <c r="AD192" s="214" t="s">
        <v>353</v>
      </c>
      <c r="AE192" s="202" t="s">
        <v>354</v>
      </c>
    </row>
    <row r="193" spans="1:31" x14ac:dyDescent="0.25">
      <c r="B193" s="52" t="s">
        <v>329</v>
      </c>
      <c r="D193" s="137"/>
      <c r="E193" s="137"/>
      <c r="F193" s="137"/>
      <c r="G193" s="137"/>
      <c r="H193" s="137"/>
      <c r="I193" s="137"/>
      <c r="J193" s="137"/>
      <c r="K193" s="137"/>
      <c r="L193" s="137"/>
      <c r="M193" s="137"/>
      <c r="N193" s="137"/>
      <c r="O193" s="137"/>
      <c r="P193" s="137"/>
      <c r="Q193" s="137"/>
      <c r="R193" s="137"/>
      <c r="S193" s="137"/>
      <c r="T193" s="195"/>
      <c r="W193" s="196"/>
      <c r="Z193" s="195"/>
      <c r="AA193" s="141">
        <v>1134</v>
      </c>
      <c r="AB193" s="141">
        <v>6742</v>
      </c>
      <c r="AC193" s="215">
        <v>0.16800000000000001</v>
      </c>
      <c r="AD193" s="156">
        <v>0.18099999999999999</v>
      </c>
      <c r="AE193" s="216">
        <v>-1.2800000000000001E-2</v>
      </c>
    </row>
    <row r="194" spans="1:31" x14ac:dyDescent="0.25">
      <c r="B194" s="52" t="s">
        <v>346</v>
      </c>
      <c r="D194" s="137"/>
      <c r="E194" s="137"/>
      <c r="F194" s="137"/>
      <c r="G194" s="137"/>
      <c r="H194" s="137"/>
      <c r="I194" s="137"/>
      <c r="J194" s="137"/>
      <c r="K194" s="137"/>
      <c r="L194" s="137"/>
      <c r="M194" s="137"/>
      <c r="N194" s="137"/>
      <c r="O194" s="137"/>
      <c r="P194" s="137"/>
      <c r="Q194" s="137"/>
      <c r="R194" s="137"/>
      <c r="S194" s="137"/>
      <c r="T194" s="195"/>
      <c r="W194" s="196"/>
      <c r="Z194" s="195"/>
      <c r="AA194" s="27">
        <v>1409</v>
      </c>
      <c r="AB194" s="141">
        <v>6742</v>
      </c>
      <c r="AC194" s="217">
        <v>0.20899999999999999</v>
      </c>
      <c r="AD194" s="156">
        <v>0.22800000000000001</v>
      </c>
      <c r="AE194" s="205">
        <v>-1.8800000000000001E-2</v>
      </c>
    </row>
    <row r="195" spans="1:31" x14ac:dyDescent="0.25">
      <c r="B195" s="52" t="s">
        <v>355</v>
      </c>
      <c r="D195" s="137"/>
      <c r="E195" s="137"/>
      <c r="F195" s="137"/>
      <c r="G195" s="137"/>
      <c r="H195" s="137"/>
      <c r="I195" s="137"/>
      <c r="J195" s="137"/>
      <c r="K195" s="137"/>
      <c r="L195" s="137"/>
      <c r="M195" s="137"/>
      <c r="N195" s="137"/>
      <c r="O195" s="137"/>
      <c r="P195" s="137"/>
      <c r="Q195" s="137"/>
      <c r="R195" s="137"/>
      <c r="S195" s="137"/>
      <c r="T195" s="195"/>
      <c r="W195" s="196"/>
      <c r="Z195" s="195"/>
      <c r="AA195" s="27">
        <v>1167</v>
      </c>
      <c r="AB195" s="27">
        <v>6742</v>
      </c>
      <c r="AC195" s="156">
        <v>0.17299999999999999</v>
      </c>
      <c r="AD195" s="156">
        <v>0.16400000000000001</v>
      </c>
      <c r="AE195" s="205">
        <v>9.2999999999999992E-3</v>
      </c>
    </row>
    <row r="196" spans="1:31" x14ac:dyDescent="0.25">
      <c r="B196" s="52" t="s">
        <v>341</v>
      </c>
      <c r="D196" s="137"/>
      <c r="E196" s="137"/>
      <c r="F196" s="137"/>
      <c r="G196" s="137"/>
      <c r="H196" s="137"/>
      <c r="I196" s="137"/>
      <c r="J196" s="137"/>
      <c r="K196" s="137"/>
      <c r="L196" s="137"/>
      <c r="M196" s="137"/>
      <c r="N196" s="137"/>
      <c r="O196" s="137"/>
      <c r="P196" s="137"/>
      <c r="Q196" s="137"/>
      <c r="R196" s="137"/>
      <c r="S196" s="137"/>
      <c r="T196" s="195"/>
      <c r="W196" s="196"/>
      <c r="Z196" s="195"/>
      <c r="AA196" s="27">
        <v>1030</v>
      </c>
      <c r="AB196" s="27">
        <v>6742</v>
      </c>
      <c r="AC196" s="156">
        <v>0.153</v>
      </c>
      <c r="AD196" s="156">
        <v>0.17499999999999999</v>
      </c>
      <c r="AE196" s="205">
        <v>-2.18E-2</v>
      </c>
    </row>
    <row r="197" spans="1:31" x14ac:dyDescent="0.25">
      <c r="B197" s="52" t="s">
        <v>339</v>
      </c>
      <c r="D197" s="137"/>
      <c r="E197" s="137"/>
      <c r="F197" s="137"/>
      <c r="G197" s="137"/>
      <c r="H197" s="137"/>
      <c r="I197" s="137"/>
      <c r="J197" s="137"/>
      <c r="K197" s="137"/>
      <c r="L197" s="137"/>
      <c r="M197" s="137"/>
      <c r="N197" s="137"/>
      <c r="O197" s="137"/>
      <c r="P197" s="137"/>
      <c r="Q197" s="137"/>
      <c r="R197" s="137"/>
      <c r="S197" s="137"/>
      <c r="T197" s="195"/>
      <c r="W197" s="196"/>
      <c r="Z197" s="195"/>
      <c r="AA197" s="27">
        <v>913</v>
      </c>
      <c r="AB197" s="27">
        <v>6742</v>
      </c>
      <c r="AC197" s="156">
        <v>0.13500000000000001</v>
      </c>
      <c r="AD197" s="156">
        <v>9.6000000000000002E-2</v>
      </c>
      <c r="AE197" s="205">
        <v>3.9899999999999998E-2</v>
      </c>
    </row>
    <row r="198" spans="1:31" x14ac:dyDescent="0.25">
      <c r="B198" s="52" t="s">
        <v>340</v>
      </c>
      <c r="D198" s="137"/>
      <c r="E198" s="137"/>
      <c r="F198" s="137"/>
      <c r="G198" s="137"/>
      <c r="H198" s="137"/>
      <c r="I198" s="137"/>
      <c r="J198" s="137"/>
      <c r="K198" s="137"/>
      <c r="L198" s="137"/>
      <c r="M198" s="137"/>
      <c r="N198" s="137"/>
      <c r="O198" s="137"/>
      <c r="P198" s="137"/>
      <c r="Q198" s="137"/>
      <c r="R198" s="137"/>
      <c r="S198" s="137"/>
      <c r="T198" s="195"/>
      <c r="W198" s="196"/>
      <c r="Z198" s="195"/>
      <c r="AA198" s="27">
        <v>906</v>
      </c>
      <c r="AB198" s="27">
        <v>6742</v>
      </c>
      <c r="AC198" s="156">
        <v>0.13500000000000001</v>
      </c>
      <c r="AD198" s="156">
        <v>0.109</v>
      </c>
      <c r="AE198" s="205">
        <v>3.9899999999999998E-2</v>
      </c>
    </row>
    <row r="199" spans="1:31" x14ac:dyDescent="0.25">
      <c r="B199" s="52" t="s">
        <v>356</v>
      </c>
      <c r="D199" s="137"/>
      <c r="E199" s="137"/>
      <c r="F199" s="137"/>
      <c r="G199" s="137"/>
      <c r="H199" s="137"/>
      <c r="I199" s="137"/>
      <c r="J199" s="137"/>
      <c r="K199" s="137"/>
      <c r="L199" s="137"/>
      <c r="M199" s="137"/>
      <c r="N199" s="137"/>
      <c r="O199" s="137"/>
      <c r="P199" s="137"/>
      <c r="Q199" s="137"/>
      <c r="R199" s="137"/>
      <c r="S199" s="137"/>
      <c r="T199" s="195"/>
      <c r="W199" s="196"/>
      <c r="Z199" s="195"/>
      <c r="AA199" s="27">
        <v>620</v>
      </c>
      <c r="AB199" s="27">
        <v>6742</v>
      </c>
      <c r="AC199" s="156">
        <v>9.1999999999999998E-2</v>
      </c>
      <c r="AD199" s="156">
        <v>0.10199999999999999</v>
      </c>
      <c r="AE199" s="205">
        <v>-9.9000000000000008E-3</v>
      </c>
    </row>
    <row r="200" spans="1:31" x14ac:dyDescent="0.25">
      <c r="B200" s="52" t="s">
        <v>344</v>
      </c>
      <c r="D200" s="137"/>
      <c r="E200" s="137"/>
      <c r="F200" s="137"/>
      <c r="G200" s="137"/>
      <c r="H200" s="137"/>
      <c r="I200" s="137"/>
      <c r="J200" s="137"/>
      <c r="K200" s="137"/>
      <c r="L200" s="137"/>
      <c r="M200" s="137"/>
      <c r="N200" s="137"/>
      <c r="O200" s="137"/>
      <c r="P200" s="137"/>
      <c r="Q200" s="137"/>
      <c r="R200" s="137"/>
      <c r="S200" s="137"/>
      <c r="T200" s="195"/>
      <c r="W200" s="196"/>
      <c r="Z200" s="195"/>
      <c r="AA200" s="27">
        <v>739</v>
      </c>
      <c r="AB200" s="27">
        <v>6742</v>
      </c>
      <c r="AC200" s="156">
        <v>0.11</v>
      </c>
      <c r="AD200" s="156">
        <v>0.114</v>
      </c>
      <c r="AE200" s="205">
        <v>-4.7000000000000002E-3</v>
      </c>
    </row>
    <row r="201" spans="1:31" x14ac:dyDescent="0.25">
      <c r="B201" s="52" t="s">
        <v>357</v>
      </c>
      <c r="D201" s="137"/>
      <c r="E201" s="137"/>
      <c r="F201" s="137"/>
      <c r="G201" s="137"/>
      <c r="H201" s="137"/>
      <c r="I201" s="137"/>
      <c r="J201" s="137"/>
      <c r="K201" s="137"/>
      <c r="L201" s="137"/>
      <c r="M201" s="137"/>
      <c r="N201" s="137"/>
      <c r="O201" s="137"/>
      <c r="P201" s="137"/>
      <c r="Q201" s="137"/>
      <c r="R201" s="137"/>
      <c r="S201" s="137"/>
      <c r="T201" s="195"/>
      <c r="W201" s="196"/>
      <c r="Z201" s="195"/>
      <c r="AA201" s="27">
        <v>887</v>
      </c>
      <c r="AB201" s="27">
        <v>6742</v>
      </c>
      <c r="AC201" s="156">
        <v>0.13200000000000001</v>
      </c>
      <c r="AD201" s="156">
        <v>0.14099999999999999</v>
      </c>
      <c r="AE201" s="205">
        <v>-9.4999999999999998E-3</v>
      </c>
    </row>
    <row r="202" spans="1:31" s="219" customFormat="1" ht="24" customHeight="1" x14ac:dyDescent="0.25">
      <c r="A202" s="44">
        <v>70</v>
      </c>
      <c r="B202" s="44" t="s">
        <v>358</v>
      </c>
      <c r="C202" s="212" t="s">
        <v>359</v>
      </c>
      <c r="D202" s="44"/>
      <c r="E202" s="44"/>
      <c r="F202" s="44"/>
      <c r="G202" s="44"/>
      <c r="H202" s="44" t="s">
        <v>36</v>
      </c>
      <c r="I202" s="44" t="s">
        <v>360</v>
      </c>
      <c r="J202" s="44"/>
      <c r="K202" s="44"/>
      <c r="L202" s="44"/>
      <c r="M202" s="44"/>
      <c r="N202" s="44"/>
      <c r="O202" s="44"/>
      <c r="P202" s="44"/>
      <c r="Q202" s="44"/>
      <c r="R202" s="44"/>
      <c r="S202" s="44"/>
      <c r="T202" s="195"/>
      <c r="U202" s="44"/>
      <c r="V202" s="44"/>
      <c r="W202" s="196"/>
      <c r="X202" s="44"/>
      <c r="Y202" s="44"/>
      <c r="Z202" s="195"/>
      <c r="AA202" s="218" t="s">
        <v>361</v>
      </c>
      <c r="AB202" s="219" t="s">
        <v>362</v>
      </c>
    </row>
    <row r="203" spans="1:31" x14ac:dyDescent="0.25">
      <c r="B203" s="6" t="s">
        <v>363</v>
      </c>
      <c r="T203" s="195"/>
      <c r="W203" s="196"/>
      <c r="Z203" s="195"/>
      <c r="AA203" s="27">
        <v>40.43</v>
      </c>
      <c r="AB203" s="27">
        <v>55</v>
      </c>
    </row>
    <row r="204" spans="1:31" x14ac:dyDescent="0.25">
      <c r="B204" s="141" t="s">
        <v>346</v>
      </c>
      <c r="T204" s="195"/>
      <c r="W204" s="196"/>
      <c r="Z204" s="195"/>
      <c r="AA204" s="27">
        <v>47.82</v>
      </c>
      <c r="AB204" s="27">
        <v>62.3</v>
      </c>
    </row>
    <row r="205" spans="1:31" x14ac:dyDescent="0.25">
      <c r="B205" s="141" t="s">
        <v>355</v>
      </c>
      <c r="T205" s="195"/>
      <c r="W205" s="196"/>
      <c r="Z205" s="195"/>
      <c r="AA205" s="27">
        <v>52.39</v>
      </c>
      <c r="AB205" s="27">
        <v>56.51</v>
      </c>
    </row>
    <row r="206" spans="1:31" x14ac:dyDescent="0.25">
      <c r="B206" s="141" t="s">
        <v>341</v>
      </c>
      <c r="T206" s="195"/>
      <c r="W206" s="196"/>
      <c r="Z206" s="195"/>
      <c r="AA206" s="27">
        <v>41.17</v>
      </c>
      <c r="AB206" s="27">
        <v>55.32</v>
      </c>
    </row>
    <row r="207" spans="1:31" x14ac:dyDescent="0.25">
      <c r="B207" s="141" t="s">
        <v>339</v>
      </c>
      <c r="T207" s="195"/>
      <c r="W207" s="196"/>
      <c r="Z207" s="195"/>
      <c r="AA207" s="27">
        <v>49.81</v>
      </c>
      <c r="AB207" s="27">
        <v>64.66</v>
      </c>
    </row>
    <row r="208" spans="1:31" x14ac:dyDescent="0.25">
      <c r="B208" s="141" t="s">
        <v>340</v>
      </c>
      <c r="T208" s="195"/>
      <c r="W208" s="196"/>
      <c r="Z208" s="195"/>
      <c r="AA208" s="27">
        <v>44.18</v>
      </c>
      <c r="AB208" s="27">
        <v>59.3</v>
      </c>
    </row>
    <row r="209" spans="1:41" x14ac:dyDescent="0.25">
      <c r="B209" s="141" t="s">
        <v>356</v>
      </c>
      <c r="T209" s="195"/>
      <c r="W209" s="196"/>
      <c r="Z209" s="195"/>
      <c r="AA209" s="27">
        <v>42.95</v>
      </c>
      <c r="AB209" s="27">
        <v>56.28</v>
      </c>
    </row>
    <row r="210" spans="1:41" x14ac:dyDescent="0.25">
      <c r="B210" s="141" t="s">
        <v>344</v>
      </c>
      <c r="T210" s="195"/>
      <c r="W210" s="196"/>
      <c r="Z210" s="195"/>
      <c r="AA210" s="27">
        <v>44.89</v>
      </c>
      <c r="AB210" s="27">
        <v>54.81</v>
      </c>
    </row>
    <row r="211" spans="1:41" x14ac:dyDescent="0.25">
      <c r="B211" s="141" t="s">
        <v>357</v>
      </c>
      <c r="T211" s="195"/>
      <c r="W211" s="196"/>
      <c r="Z211" s="195"/>
      <c r="AA211" s="27">
        <v>56.13</v>
      </c>
      <c r="AB211" s="27">
        <v>64.650000000000006</v>
      </c>
    </row>
    <row r="212" spans="1:41" x14ac:dyDescent="0.25">
      <c r="A212" s="27">
        <v>72</v>
      </c>
      <c r="B212" s="27" t="s">
        <v>364</v>
      </c>
      <c r="C212" s="27" t="s">
        <v>365</v>
      </c>
      <c r="D212" s="27" t="s">
        <v>366</v>
      </c>
      <c r="E212" s="27" t="s">
        <v>367</v>
      </c>
      <c r="F212" s="27" t="s">
        <v>368</v>
      </c>
      <c r="H212" s="27" t="s">
        <v>198</v>
      </c>
      <c r="I212" s="27" t="s">
        <v>369</v>
      </c>
      <c r="J212" s="27" t="s">
        <v>370</v>
      </c>
      <c r="T212" s="195"/>
      <c r="W212" s="196"/>
      <c r="Z212" s="195"/>
      <c r="AA212" s="220" t="s">
        <v>371</v>
      </c>
      <c r="AB212" s="221"/>
      <c r="AC212" s="221"/>
      <c r="AD212" s="222"/>
      <c r="AE212" s="223" t="s">
        <v>371</v>
      </c>
      <c r="AF212" s="224"/>
      <c r="AG212" s="225"/>
      <c r="AH212" s="220" t="s">
        <v>372</v>
      </c>
      <c r="AI212" s="221"/>
      <c r="AJ212" s="221"/>
      <c r="AK212" s="222"/>
      <c r="AL212" s="223" t="s">
        <v>372</v>
      </c>
      <c r="AM212" s="224"/>
      <c r="AN212" s="225"/>
    </row>
    <row r="213" spans="1:41" x14ac:dyDescent="0.25">
      <c r="AA213" s="22" t="s">
        <v>373</v>
      </c>
      <c r="AB213" s="22" t="s">
        <v>277</v>
      </c>
      <c r="AC213" s="22" t="s">
        <v>374</v>
      </c>
      <c r="AD213" s="22" t="s">
        <v>109</v>
      </c>
      <c r="AE213" s="22" t="s">
        <v>373</v>
      </c>
      <c r="AF213" s="22" t="s">
        <v>277</v>
      </c>
      <c r="AG213" s="22" t="s">
        <v>374</v>
      </c>
      <c r="AH213" s="22" t="s">
        <v>373</v>
      </c>
      <c r="AI213" s="22" t="s">
        <v>277</v>
      </c>
      <c r="AJ213" s="22" t="s">
        <v>374</v>
      </c>
      <c r="AK213" s="22"/>
      <c r="AL213" s="22" t="s">
        <v>373</v>
      </c>
      <c r="AM213" s="22" t="s">
        <v>277</v>
      </c>
      <c r="AN213" s="22" t="s">
        <v>374</v>
      </c>
      <c r="AO213" s="226"/>
    </row>
    <row r="214" spans="1:41" x14ac:dyDescent="0.25">
      <c r="B214" s="91" t="s">
        <v>363</v>
      </c>
      <c r="AA214" s="227">
        <v>17382772.738317758</v>
      </c>
      <c r="AB214" s="227">
        <v>1905295.6728971961</v>
      </c>
      <c r="AC214" s="227">
        <v>2038829</v>
      </c>
      <c r="AD214" s="227">
        <v>21326897.411214955</v>
      </c>
      <c r="AE214" s="226">
        <v>0.81506336356158671</v>
      </c>
      <c r="AF214" s="226">
        <v>8.9337686404177941E-2</v>
      </c>
      <c r="AG214" s="226">
        <v>9.5598950034235269E-2</v>
      </c>
      <c r="AH214" s="227">
        <v>27998291.891891889</v>
      </c>
      <c r="AI214" s="227">
        <v>3003885.5855855853</v>
      </c>
      <c r="AJ214" s="227">
        <v>2293212</v>
      </c>
      <c r="AK214" s="227">
        <v>33295389.477477476</v>
      </c>
      <c r="AL214" s="226">
        <v>0.84090597320782845</v>
      </c>
      <c r="AM214" s="226">
        <v>9.0219265571815907E-2</v>
      </c>
      <c r="AN214" s="226">
        <v>6.887476122035556E-2</v>
      </c>
      <c r="AO214" s="226"/>
    </row>
    <row r="215" spans="1:41" x14ac:dyDescent="0.25">
      <c r="B215" s="91" t="s">
        <v>375</v>
      </c>
      <c r="AA215" s="227">
        <v>14369339.266355142</v>
      </c>
      <c r="AB215" s="227">
        <v>3973300.8644859819</v>
      </c>
      <c r="AC215" s="227">
        <v>561791.11214953277</v>
      </c>
      <c r="AD215" s="227">
        <v>18904431.242990658</v>
      </c>
      <c r="AE215" s="226">
        <v>0.76010428886523485</v>
      </c>
      <c r="AF215" s="226">
        <v>0.210178281134969</v>
      </c>
      <c r="AG215" s="226">
        <v>2.9717429999796076E-2</v>
      </c>
      <c r="AH215" s="227">
        <v>20879829.729729731</v>
      </c>
      <c r="AI215" s="227">
        <v>4001972.9729729723</v>
      </c>
      <c r="AJ215" s="227">
        <v>1120063.063063063</v>
      </c>
      <c r="AK215" s="227">
        <v>26001865.765765764</v>
      </c>
      <c r="AL215" s="226">
        <v>0.80301274984736903</v>
      </c>
      <c r="AM215" s="226">
        <v>0.15391099273506739</v>
      </c>
      <c r="AN215" s="226">
        <v>4.3076257417563692E-2</v>
      </c>
      <c r="AO215" s="226"/>
    </row>
    <row r="216" spans="1:41" x14ac:dyDescent="0.25">
      <c r="B216" s="91" t="s">
        <v>340</v>
      </c>
      <c r="AA216" s="227">
        <v>14396783.967289718</v>
      </c>
      <c r="AB216" s="227">
        <v>2554291.6355140186</v>
      </c>
      <c r="AC216" s="227">
        <v>1911075.9345794392</v>
      </c>
      <c r="AD216" s="227">
        <v>18862151.537383176</v>
      </c>
      <c r="AE216" s="226">
        <v>0.76326308474176552</v>
      </c>
      <c r="AF216" s="226">
        <v>0.1354188905996026</v>
      </c>
      <c r="AG216" s="226">
        <v>0.10131802465863185</v>
      </c>
      <c r="AH216" s="227">
        <v>19048763.963963963</v>
      </c>
      <c r="AI216" s="227">
        <v>2128458.5585585586</v>
      </c>
      <c r="AJ216" s="227">
        <v>1684509.9099099098</v>
      </c>
      <c r="AK216" s="227">
        <v>22861732.432432432</v>
      </c>
      <c r="AL216" s="226">
        <v>0.83321611869364454</v>
      </c>
      <c r="AM216" s="226">
        <v>9.3101367748450015E-2</v>
      </c>
      <c r="AN216" s="226">
        <v>7.3682513557905463E-2</v>
      </c>
      <c r="AO216" s="226"/>
    </row>
    <row r="217" spans="1:41" x14ac:dyDescent="0.25">
      <c r="B217" s="91" t="s">
        <v>341</v>
      </c>
      <c r="AA217" s="227">
        <v>10217026.883177571</v>
      </c>
      <c r="AB217" s="227">
        <v>1000804.7570093459</v>
      </c>
      <c r="AC217" s="227">
        <v>1541499.2990654206</v>
      </c>
      <c r="AD217" s="227">
        <v>12759330.939252337</v>
      </c>
      <c r="AE217" s="226">
        <v>0.80074942266340032</v>
      </c>
      <c r="AF217" s="226">
        <v>7.8437087475371217E-2</v>
      </c>
      <c r="AG217" s="226">
        <v>0.12081348986122845</v>
      </c>
      <c r="AH217" s="227">
        <v>16360503.603603605</v>
      </c>
      <c r="AI217" s="227">
        <v>2257427.0270270272</v>
      </c>
      <c r="AJ217" s="227">
        <v>1051318.9189189191</v>
      </c>
      <c r="AK217" s="227">
        <v>19669249.54954955</v>
      </c>
      <c r="AL217" s="226">
        <v>0.83178077345499346</v>
      </c>
      <c r="AM217" s="226">
        <v>0.11476935209654326</v>
      </c>
      <c r="AN217" s="226">
        <v>5.3449874448463414E-2</v>
      </c>
      <c r="AO217" s="226"/>
    </row>
    <row r="218" spans="1:41" x14ac:dyDescent="0.25">
      <c r="B218" s="91" t="s">
        <v>376</v>
      </c>
      <c r="AA218" s="227">
        <v>9771540.4532710277</v>
      </c>
      <c r="AB218" s="227">
        <v>873986.41588785057</v>
      </c>
      <c r="AC218" s="227">
        <v>1985025.8878504671</v>
      </c>
      <c r="AD218" s="227">
        <v>12630552.757009346</v>
      </c>
      <c r="AE218" s="226">
        <v>0.77364313670660967</v>
      </c>
      <c r="AF218" s="226">
        <v>6.9196212762963227E-2</v>
      </c>
      <c r="AG218" s="226">
        <v>0.15716065053042699</v>
      </c>
      <c r="AH218" s="227">
        <v>18393865.765765764</v>
      </c>
      <c r="AI218" s="227">
        <v>1826480.1801801804</v>
      </c>
      <c r="AJ218" s="227">
        <v>1917953</v>
      </c>
      <c r="AK218" s="227">
        <v>22138298.945945945</v>
      </c>
      <c r="AL218" s="226">
        <v>0.83086174826156289</v>
      </c>
      <c r="AM218" s="226">
        <v>8.2503185300723064E-2</v>
      </c>
      <c r="AN218" s="226">
        <v>8.6635066437713973E-2</v>
      </c>
      <c r="AO218" s="226"/>
    </row>
    <row r="219" spans="1:41" x14ac:dyDescent="0.25">
      <c r="B219" s="91" t="s">
        <v>377</v>
      </c>
      <c r="AA219" s="227">
        <v>3856773.3738317755</v>
      </c>
      <c r="AB219" s="227">
        <v>1490876.995327103</v>
      </c>
      <c r="AC219" s="227">
        <v>441419.00934579445</v>
      </c>
      <c r="AD219" s="227">
        <v>5789069.378504673</v>
      </c>
      <c r="AE219" s="226">
        <v>0.66621647136451956</v>
      </c>
      <c r="AF219" s="226">
        <v>0.2575331021014986</v>
      </c>
      <c r="AG219" s="226">
        <v>7.6250426533981841E-2</v>
      </c>
      <c r="AH219" s="227">
        <v>5272135.1351351347</v>
      </c>
      <c r="AI219" s="227">
        <v>1427173.8738738738</v>
      </c>
      <c r="AJ219" s="227">
        <v>669287.38738738734</v>
      </c>
      <c r="AK219" s="227">
        <v>7368596.3963963958</v>
      </c>
      <c r="AL219" s="226">
        <v>0.71548702785695617</v>
      </c>
      <c r="AM219" s="226">
        <v>0.19368327386906845</v>
      </c>
      <c r="AN219" s="226">
        <v>9.082969827397544E-2</v>
      </c>
      <c r="AO219" s="226"/>
    </row>
    <row r="220" spans="1:41" x14ac:dyDescent="0.25">
      <c r="B220" s="91" t="s">
        <v>344</v>
      </c>
      <c r="AA220" s="227">
        <v>1723350.1635514018</v>
      </c>
      <c r="AB220" s="227">
        <v>474488.15420560748</v>
      </c>
      <c r="AC220" s="227">
        <v>352952.61214953271</v>
      </c>
      <c r="AD220" s="227">
        <v>2550790.9299065424</v>
      </c>
      <c r="AE220" s="226">
        <v>0.6756140392950758</v>
      </c>
      <c r="AF220" s="226">
        <v>0.18601608961460125</v>
      </c>
      <c r="AG220" s="226">
        <v>0.13836987109032273</v>
      </c>
      <c r="AH220" s="227">
        <v>3420539.6396396393</v>
      </c>
      <c r="AI220" s="227">
        <v>1006944.1441441441</v>
      </c>
      <c r="AJ220" s="227">
        <v>545109.90990990994</v>
      </c>
      <c r="AK220" s="227">
        <v>4972593.6936936928</v>
      </c>
      <c r="AL220" s="226">
        <v>0.68787836898430121</v>
      </c>
      <c r="AM220" s="226">
        <v>0.20249877753357642</v>
      </c>
      <c r="AN220" s="226">
        <v>0.10962285348212249</v>
      </c>
      <c r="AO220" s="226"/>
    </row>
    <row r="221" spans="1:41" x14ac:dyDescent="0.25">
      <c r="B221" s="91" t="s">
        <v>355</v>
      </c>
      <c r="AA221" s="227">
        <v>1808839.8644859814</v>
      </c>
      <c r="AB221" s="227">
        <v>307875.11214953277</v>
      </c>
      <c r="AC221" s="227">
        <v>357803.73831775703</v>
      </c>
      <c r="AD221" s="227">
        <v>2474518.7149532712</v>
      </c>
      <c r="AE221" s="226">
        <v>0.73098653631324007</v>
      </c>
      <c r="AF221" s="226">
        <v>0.12441817889235349</v>
      </c>
      <c r="AG221" s="226">
        <v>0.1445952847944065</v>
      </c>
      <c r="AH221" s="227">
        <v>3147741.4414414414</v>
      </c>
      <c r="AI221" s="227">
        <v>794056.7567567568</v>
      </c>
      <c r="AJ221" s="227">
        <v>599338.7387387387</v>
      </c>
      <c r="AK221" s="227">
        <v>4541136.9369369373</v>
      </c>
      <c r="AL221" s="226">
        <v>0.69316153314782858</v>
      </c>
      <c r="AM221" s="226">
        <v>0.17485858008333033</v>
      </c>
      <c r="AN221" s="226">
        <v>0.13197988676884106</v>
      </c>
      <c r="AO221" s="226"/>
    </row>
    <row r="222" spans="1:41" x14ac:dyDescent="0.25">
      <c r="B222" s="91" t="s">
        <v>346</v>
      </c>
      <c r="AA222" s="227">
        <v>1987873.313084112</v>
      </c>
      <c r="AB222" s="227">
        <v>158519.75233644858</v>
      </c>
      <c r="AC222" s="227">
        <v>215950.71495327103</v>
      </c>
      <c r="AD222" s="227">
        <v>2362343.7803738317</v>
      </c>
      <c r="AE222" s="226">
        <v>0.84148350024209384</v>
      </c>
      <c r="AF222" s="226">
        <v>6.7102745016799983E-2</v>
      </c>
      <c r="AG222" s="226">
        <v>9.1413754741106162E-2</v>
      </c>
      <c r="AH222" s="227">
        <v>2524214.4144144142</v>
      </c>
      <c r="AI222" s="227">
        <v>306296.39639639639</v>
      </c>
      <c r="AJ222" s="227">
        <v>319200.90090090089</v>
      </c>
      <c r="AK222" s="227">
        <v>3149711.7117117113</v>
      </c>
      <c r="AL222" s="226">
        <v>0.80141125456927276</v>
      </c>
      <c r="AM222" s="226">
        <v>9.7245851186151755E-2</v>
      </c>
      <c r="AN222" s="226">
        <v>0.10134289424457552</v>
      </c>
      <c r="AO222" s="226"/>
    </row>
    <row r="223" spans="1:41" ht="15" x14ac:dyDescent="0.25">
      <c r="A223" s="27">
        <v>73</v>
      </c>
      <c r="B223" s="27" t="s">
        <v>378</v>
      </c>
      <c r="C223" s="27" t="s">
        <v>379</v>
      </c>
      <c r="D223" s="27" t="s">
        <v>380</v>
      </c>
      <c r="E223" s="27" t="s">
        <v>367</v>
      </c>
      <c r="F223" s="27" t="s">
        <v>368</v>
      </c>
      <c r="H223" s="27" t="s">
        <v>79</v>
      </c>
      <c r="I223" s="27" t="s">
        <v>381</v>
      </c>
      <c r="J223" s="27" t="s">
        <v>370</v>
      </c>
      <c r="K223" s="27">
        <v>2015</v>
      </c>
      <c r="L223" s="27">
        <v>2015</v>
      </c>
      <c r="M223" s="228" t="s">
        <v>382</v>
      </c>
      <c r="N223" s="27" t="s">
        <v>383</v>
      </c>
      <c r="O223" s="27" t="s">
        <v>384</v>
      </c>
      <c r="P223" s="27" t="s">
        <v>385</v>
      </c>
      <c r="Q223" s="27" t="s">
        <v>386</v>
      </c>
      <c r="R223" s="27" t="s">
        <v>387</v>
      </c>
      <c r="AA223" s="229">
        <v>2009</v>
      </c>
      <c r="AB223" s="230"/>
      <c r="AC223" s="230"/>
      <c r="AD223" s="230"/>
      <c r="AE223" s="230"/>
      <c r="AF223" s="230"/>
      <c r="AG223" s="229">
        <v>2014</v>
      </c>
      <c r="AH223" s="230"/>
      <c r="AI223" s="230"/>
      <c r="AJ223" s="230"/>
      <c r="AK223" s="230"/>
      <c r="AL223" s="230"/>
    </row>
    <row r="224" spans="1:41" ht="15" x14ac:dyDescent="0.25">
      <c r="M224" s="228"/>
      <c r="AA224" s="22" t="s">
        <v>388</v>
      </c>
      <c r="AB224" s="22" t="s">
        <v>331</v>
      </c>
      <c r="AC224" s="22" t="s">
        <v>389</v>
      </c>
      <c r="AD224" s="22" t="s">
        <v>390</v>
      </c>
      <c r="AE224" s="22" t="s">
        <v>391</v>
      </c>
      <c r="AF224" s="22" t="s">
        <v>392</v>
      </c>
      <c r="AG224" s="22" t="s">
        <v>388</v>
      </c>
      <c r="AH224" s="22" t="s">
        <v>331</v>
      </c>
      <c r="AI224" s="22" t="s">
        <v>389</v>
      </c>
      <c r="AJ224" s="22" t="s">
        <v>390</v>
      </c>
      <c r="AK224" s="22" t="s">
        <v>391</v>
      </c>
      <c r="AL224" s="22" t="s">
        <v>392</v>
      </c>
    </row>
    <row r="225" spans="2:38" x14ac:dyDescent="0.25">
      <c r="B225" s="91" t="s">
        <v>363</v>
      </c>
      <c r="AA225" s="226">
        <v>0.2875660233880914</v>
      </c>
      <c r="AB225" s="226">
        <v>3.8699074828488704E-3</v>
      </c>
      <c r="AC225" s="226">
        <v>8.3148589690772101E-2</v>
      </c>
      <c r="AD225" s="226">
        <v>2.3310588413410081E-2</v>
      </c>
      <c r="AE225" s="226">
        <v>0.30599589623076745</v>
      </c>
      <c r="AF225" s="226">
        <v>0.29610899479411007</v>
      </c>
      <c r="AG225" s="226">
        <v>0.25318909409863527</v>
      </c>
      <c r="AH225" s="226">
        <v>3.8794375993404487E-3</v>
      </c>
      <c r="AI225" s="226">
        <v>0.1019199403927861</v>
      </c>
      <c r="AJ225" s="226">
        <v>3.2420881642922048E-2</v>
      </c>
      <c r="AK225" s="226">
        <v>0.37922305663231448</v>
      </c>
      <c r="AL225" s="226">
        <v>0.22936762532865404</v>
      </c>
    </row>
    <row r="226" spans="2:38" x14ac:dyDescent="0.25">
      <c r="B226" s="91" t="s">
        <v>339</v>
      </c>
      <c r="AA226" s="226">
        <v>0.3564696489826879</v>
      </c>
      <c r="AB226" s="226">
        <v>6.2159012915471937E-3</v>
      </c>
      <c r="AC226" s="226">
        <v>7.0928220154156743E-2</v>
      </c>
      <c r="AD226" s="226">
        <v>5.4155726760520675E-2</v>
      </c>
      <c r="AE226" s="226">
        <v>0.22610210348638637</v>
      </c>
      <c r="AF226" s="226">
        <v>0.28612839932470119</v>
      </c>
      <c r="AG226" s="226">
        <v>0.36248953294879799</v>
      </c>
      <c r="AH226" s="226">
        <v>5.0114067536259277E-3</v>
      </c>
      <c r="AI226" s="226">
        <v>5.538140112814291E-2</v>
      </c>
      <c r="AJ226" s="226" t="s">
        <v>393</v>
      </c>
      <c r="AK226" s="226">
        <v>0.27491056333858227</v>
      </c>
      <c r="AL226" s="226">
        <v>0.30220709583085087</v>
      </c>
    </row>
    <row r="227" spans="2:38" x14ac:dyDescent="0.25">
      <c r="B227" s="91" t="s">
        <v>340</v>
      </c>
      <c r="AA227" s="226">
        <v>0.3188328196851053</v>
      </c>
      <c r="AB227" s="226">
        <v>5.4324684159946356E-3</v>
      </c>
      <c r="AC227" s="226">
        <v>3.7106727719655272E-2</v>
      </c>
      <c r="AD227" s="226">
        <v>0.11694126866238982</v>
      </c>
      <c r="AE227" s="226">
        <v>0.28455028002113075</v>
      </c>
      <c r="AF227" s="226">
        <v>0.23713643549572413</v>
      </c>
      <c r="AG227" s="226">
        <v>0.31504908381843588</v>
      </c>
      <c r="AH227" s="226">
        <v>4.3288154718502201E-3</v>
      </c>
      <c r="AI227" s="226">
        <v>7.3977119886385709E-2</v>
      </c>
      <c r="AJ227" s="226">
        <v>9.2275590125386206E-2</v>
      </c>
      <c r="AK227" s="226">
        <v>0.35827560412628934</v>
      </c>
      <c r="AL227" s="226">
        <v>0.15609383729956261</v>
      </c>
    </row>
    <row r="228" spans="2:38" x14ac:dyDescent="0.25">
      <c r="B228" s="91" t="s">
        <v>341</v>
      </c>
      <c r="AA228" s="226">
        <v>0.3011448377064691</v>
      </c>
      <c r="AB228" s="226">
        <v>5.4439786847742481E-3</v>
      </c>
      <c r="AC228" s="226">
        <v>4.3004687539956205E-2</v>
      </c>
      <c r="AD228" s="226">
        <v>0.11055335789554437</v>
      </c>
      <c r="AE228" s="226">
        <v>0.27885984393226176</v>
      </c>
      <c r="AF228" s="226">
        <v>0.26099329424099421</v>
      </c>
      <c r="AG228" s="226">
        <v>0.30150366074705393</v>
      </c>
      <c r="AH228" s="226">
        <v>4.7949182093502338E-3</v>
      </c>
      <c r="AI228" s="226">
        <v>6.9387793931796643E-2</v>
      </c>
      <c r="AJ228" s="226">
        <v>6.4657984020531994E-2</v>
      </c>
      <c r="AK228" s="226">
        <v>0.34819510889307864</v>
      </c>
      <c r="AL228" s="226">
        <v>0.21146053419818855</v>
      </c>
    </row>
    <row r="229" spans="2:38" x14ac:dyDescent="0.25">
      <c r="B229" s="91" t="s">
        <v>356</v>
      </c>
      <c r="AA229" s="226">
        <v>0.29671866392197982</v>
      </c>
      <c r="AB229" s="226">
        <v>5.0526641515642621E-3</v>
      </c>
      <c r="AC229" s="226">
        <v>0.12508090957420354</v>
      </c>
      <c r="AD229" s="226">
        <v>9.1203440530666993E-2</v>
      </c>
      <c r="AE229" s="226">
        <v>0.35470361495630581</v>
      </c>
      <c r="AF229" s="226">
        <v>0.12724070686527958</v>
      </c>
      <c r="AG229" s="226">
        <v>0.27660409434358968</v>
      </c>
      <c r="AH229" s="226">
        <v>4.6232983776753759E-3</v>
      </c>
      <c r="AI229" s="226">
        <v>6.6054151769586913E-2</v>
      </c>
      <c r="AJ229" s="226">
        <v>6.7090594396275849E-2</v>
      </c>
      <c r="AK229" s="226">
        <v>0.44654503406719809</v>
      </c>
      <c r="AL229" s="226">
        <v>0.13908288155798809</v>
      </c>
    </row>
    <row r="230" spans="2:38" x14ac:dyDescent="0.25">
      <c r="B230" s="91" t="s">
        <v>357</v>
      </c>
      <c r="AA230" s="226">
        <v>0.33705889783007997</v>
      </c>
      <c r="AB230" s="226">
        <v>1.0856178982879579E-2</v>
      </c>
      <c r="AC230" s="226">
        <v>4.6195403327245844E-2</v>
      </c>
      <c r="AD230" s="226">
        <v>0.10042156341608469</v>
      </c>
      <c r="AE230" s="226">
        <v>0.24784139531701463</v>
      </c>
      <c r="AF230" s="226">
        <v>0.25762656112669535</v>
      </c>
      <c r="AG230" s="226">
        <v>0.27350096491773856</v>
      </c>
      <c r="AH230" s="226">
        <v>8.6288481879418805E-3</v>
      </c>
      <c r="AI230" s="226">
        <v>3.1173642277064532E-2</v>
      </c>
      <c r="AJ230" s="226">
        <v>7.6048478735701822E-2</v>
      </c>
      <c r="AK230" s="226">
        <v>0.34960597540627458</v>
      </c>
      <c r="AL230" s="226">
        <v>0.26104209047527865</v>
      </c>
    </row>
    <row r="231" spans="2:38" x14ac:dyDescent="0.25">
      <c r="B231" s="91" t="s">
        <v>344</v>
      </c>
      <c r="AA231" s="226">
        <v>0.32392780119730746</v>
      </c>
      <c r="AB231" s="226">
        <v>1.1337506001368916E-2</v>
      </c>
      <c r="AC231" s="226">
        <v>0.10157062828427317</v>
      </c>
      <c r="AD231" s="226">
        <v>7.438126847789904E-2</v>
      </c>
      <c r="AE231" s="226">
        <v>0.33735438783839755</v>
      </c>
      <c r="AF231" s="226">
        <v>0.1514284082007539</v>
      </c>
      <c r="AG231" s="226">
        <v>0.25988596335807668</v>
      </c>
      <c r="AH231" s="226">
        <v>1.1073834172216674E-2</v>
      </c>
      <c r="AI231" s="226">
        <v>0.13977225550240757</v>
      </c>
      <c r="AJ231" s="226">
        <v>6.2292730927331195E-2</v>
      </c>
      <c r="AK231" s="226">
        <v>0.34957780974600738</v>
      </c>
      <c r="AL231" s="226">
        <v>0.17739714535248888</v>
      </c>
    </row>
    <row r="232" spans="2:38" x14ac:dyDescent="0.25">
      <c r="B232" s="91" t="s">
        <v>355</v>
      </c>
      <c r="AA232" s="226">
        <v>0.34314351068120796</v>
      </c>
      <c r="AB232" s="226">
        <v>9.9219070726453348E-3</v>
      </c>
      <c r="AC232" s="226">
        <v>7.0783855772300966E-2</v>
      </c>
      <c r="AD232" s="226">
        <v>5.9859968828431837E-2</v>
      </c>
      <c r="AE232" s="226">
        <v>0.23921795342920563</v>
      </c>
      <c r="AF232" s="226">
        <v>0.27707280421620833</v>
      </c>
      <c r="AG232" s="226">
        <v>0.29576384198957062</v>
      </c>
      <c r="AH232" s="226">
        <v>1.1854532535859989E-2</v>
      </c>
      <c r="AI232" s="226">
        <v>6.3123583269107719E-2</v>
      </c>
      <c r="AJ232" s="226">
        <v>7.4823451019086856E-2</v>
      </c>
      <c r="AK232" s="226">
        <v>0.29084480406268343</v>
      </c>
      <c r="AL232" s="226">
        <v>0.26358978712369141</v>
      </c>
    </row>
    <row r="233" spans="2:38" x14ac:dyDescent="0.25">
      <c r="B233" s="91" t="s">
        <v>346</v>
      </c>
      <c r="AA233" s="226">
        <v>0.30135127793171423</v>
      </c>
      <c r="AB233" s="226">
        <v>9.9166155700954398E-3</v>
      </c>
      <c r="AC233" s="226">
        <v>5.1743363266868979E-3</v>
      </c>
      <c r="AD233" s="226">
        <v>4.0325155294769009E-2</v>
      </c>
      <c r="AE233" s="226">
        <v>0.32948673170807424</v>
      </c>
      <c r="AF233" s="226">
        <v>0.31374588316866003</v>
      </c>
      <c r="AG233" s="226">
        <v>0.24197717808663674</v>
      </c>
      <c r="AH233" s="226">
        <v>1.20501865772538E-2</v>
      </c>
      <c r="AI233" s="226">
        <v>3.6599066212391611E-2</v>
      </c>
      <c r="AJ233" s="226">
        <v>4.5220197213058602E-2</v>
      </c>
      <c r="AK233" s="226">
        <v>0.47207506354442702</v>
      </c>
      <c r="AL233" s="226">
        <v>0.19207866890198835</v>
      </c>
    </row>
  </sheetData>
  <mergeCells count="48">
    <mergeCell ref="AA223:AF223"/>
    <mergeCell ref="AG223:AL223"/>
    <mergeCell ref="BE141:BI141"/>
    <mergeCell ref="BJ141:BN141"/>
    <mergeCell ref="F164:G164"/>
    <mergeCell ref="AA212:AD212"/>
    <mergeCell ref="AE212:AG212"/>
    <mergeCell ref="AH212:AK212"/>
    <mergeCell ref="AL212:AN212"/>
    <mergeCell ref="AY77:BB77"/>
    <mergeCell ref="AA141:AE141"/>
    <mergeCell ref="AF141:AJ141"/>
    <mergeCell ref="AK141:AO141"/>
    <mergeCell ref="AP141:AT141"/>
    <mergeCell ref="AU141:AY141"/>
    <mergeCell ref="AZ141:BD141"/>
    <mergeCell ref="AA66:AD66"/>
    <mergeCell ref="AE66:AH66"/>
    <mergeCell ref="AI66:AL66"/>
    <mergeCell ref="AM77:AP77"/>
    <mergeCell ref="AQ77:AT77"/>
    <mergeCell ref="AU77:AX77"/>
    <mergeCell ref="AY43:BB43"/>
    <mergeCell ref="AA55:AD55"/>
    <mergeCell ref="AE55:AH55"/>
    <mergeCell ref="AI55:AL55"/>
    <mergeCell ref="AM55:AP55"/>
    <mergeCell ref="AQ55:AT55"/>
    <mergeCell ref="AU55:AX55"/>
    <mergeCell ref="AY55:BB55"/>
    <mergeCell ref="AA43:AD43"/>
    <mergeCell ref="AE43:AH43"/>
    <mergeCell ref="AI43:AL43"/>
    <mergeCell ref="AM43:AP43"/>
    <mergeCell ref="AQ43:AT43"/>
    <mergeCell ref="AU43:AX43"/>
    <mergeCell ref="AY2:BB2"/>
    <mergeCell ref="BC2:BF2"/>
    <mergeCell ref="AA42:AC42"/>
    <mergeCell ref="AD42:AF42"/>
    <mergeCell ref="AG42:AI42"/>
    <mergeCell ref="AJ42:AL42"/>
    <mergeCell ref="AA2:AD2"/>
    <mergeCell ref="AE2:AH2"/>
    <mergeCell ref="AI2:AL2"/>
    <mergeCell ref="AM2:AP2"/>
    <mergeCell ref="AQ2:AT2"/>
    <mergeCell ref="AU2:AX2"/>
  </mergeCells>
  <hyperlinks>
    <hyperlink ref="M223" r:id="rId1"/>
  </hyperlinks>
  <pageMargins left="0.25" right="0.25" top="0.75" bottom="0.75" header="0.3" footer="0.3"/>
  <pageSetup paperSize="8"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Well Governed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Maree</dc:creator>
  <cp:lastModifiedBy>Gillian Maree</cp:lastModifiedBy>
  <dcterms:created xsi:type="dcterms:W3CDTF">2016-06-15T14:12:43Z</dcterms:created>
  <dcterms:modified xsi:type="dcterms:W3CDTF">2016-06-15T14:14:52Z</dcterms:modified>
</cp:coreProperties>
</file>